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B78771\AppData\Local\Microsoft\Windows\INetCache\Content.Outlook\M8VQ7GHY\"/>
    </mc:Choice>
  </mc:AlternateContent>
  <xr:revisionPtr revIDLastSave="0" documentId="8_{6C995178-50FD-4E2A-A154-7CA03B099E78}" xr6:coauthVersionLast="47" xr6:coauthVersionMax="47" xr10:uidLastSave="{00000000-0000-0000-0000-000000000000}"/>
  <bookViews>
    <workbookView xWindow="-110" yWindow="-110" windowWidth="19420" windowHeight="10420" tabRatio="620" xr2:uid="{00000000-000D-0000-FFFF-FFFF00000000}"/>
  </bookViews>
  <sheets>
    <sheet name="Template" sheetId="7" r:id="rId1"/>
    <sheet name="Instructions" sheetId="9" r:id="rId2"/>
    <sheet name="Primary" sheetId="37" r:id="rId3"/>
    <sheet name="Secondary" sheetId="39" r:id="rId4"/>
    <sheet name="Special 23-24" sheetId="70" r:id="rId5"/>
    <sheet name="IR 22-23" sheetId="74" state="hidden" r:id="rId6"/>
    <sheet name="IR Budget 2023-24" sheetId="69" r:id="rId7"/>
    <sheet name="MFG-Gains A4" sheetId="64" r:id="rId8"/>
    <sheet name="IR Budget 2021 22" sheetId="71" state="hidden" r:id="rId9"/>
    <sheet name="Schools List" sheetId="72" state="hidden" r:id="rId10"/>
    <sheet name="Special 2021-22" sheetId="68" state="hidden" r:id="rId11"/>
    <sheet name="3-16" sheetId="62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Adjustments_To_1415_SBS" localSheetId="8">'[1]Local Factors'!$AB$5</definedName>
    <definedName name="Adjustments_To_1415_SBS">'[1]Local Factors'!$AB$5</definedName>
    <definedName name="Adjustments_To_1516_SBS" localSheetId="8">'[2]Local Factors'!$AB$5</definedName>
    <definedName name="Adjustments_To_1516_SBS">'[2]Local Factors'!$AB$5</definedName>
    <definedName name="Adjustments_To_PY_SBS" localSheetId="7">'[3]Local Factors'!$AA$5</definedName>
    <definedName name="Adjustments_To_PY_SBS" localSheetId="9">'[4]Local Factors'!$AA$5</definedName>
    <definedName name="Adjustments_To_PY_SBS">'[5]Local Factors'!$AA$5</definedName>
    <definedName name="All_distance_threshold" localSheetId="8">[1]Proforma!$D$43</definedName>
    <definedName name="All_distance_threshold" localSheetId="7">[3]Proforma!$D$49</definedName>
    <definedName name="All_distance_threshold" localSheetId="9">[4]Proforma!$D$49</definedName>
    <definedName name="All_distance_threshold">[1]Proforma!$D$43</definedName>
    <definedName name="All_PupilNo_threshold" localSheetId="8">[1]Proforma!$G$43</definedName>
    <definedName name="All_PupilNo_threshold" localSheetId="7">[3]Proforma!$G$49</definedName>
    <definedName name="All_PupilNo_threshold" localSheetId="9">[4]Proforma!$G$49</definedName>
    <definedName name="All_PupilNo_threshold">[1]Proforma!$G$43</definedName>
    <definedName name="Alt_Gains_Cap" localSheetId="9">[4]Proforma!#REF!</definedName>
    <definedName name="Alt_Gains_Cap">[3]Proforma!#REF!</definedName>
    <definedName name="AWPU_KS3_Rate" localSheetId="8">[1]Proforma!$E$12</definedName>
    <definedName name="AWPU_KS3_Rate" localSheetId="7">[3]Proforma!$E$15</definedName>
    <definedName name="AWPU_KS3_Rate" localSheetId="9">[4]Proforma!$E$15</definedName>
    <definedName name="AWPU_KS3_Rate">[1]Proforma!$E$12</definedName>
    <definedName name="AWPU_KS4_Rate" localSheetId="8">[1]Proforma!$E$13</definedName>
    <definedName name="AWPU_KS4_Rate" localSheetId="7">[3]Proforma!$E$16</definedName>
    <definedName name="AWPU_KS4_Rate" localSheetId="9">[4]Proforma!$E$16</definedName>
    <definedName name="AWPU_KS4_Rate">[1]Proforma!$E$13</definedName>
    <definedName name="AWPU_Pri_Rate" localSheetId="8">[1]Proforma!$E$11</definedName>
    <definedName name="AWPU_Pri_Rate" localSheetId="7">[3]Proforma!$E$14</definedName>
    <definedName name="AWPU_Pri_Rate" localSheetId="9">[4]Proforma!$E$14</definedName>
    <definedName name="AWPU_Pri_Rate">[1]Proforma!$E$11</definedName>
    <definedName name="AWPU_Primary_DD_rate" localSheetId="8">'[1]De Delegation'!$V$8</definedName>
    <definedName name="AWPU_Primary_DD_rate" localSheetId="7">'[3]De Delegation'!$X$8</definedName>
    <definedName name="AWPU_Primary_DD_rate" localSheetId="9">'[4]De Delegation'!$X$8</definedName>
    <definedName name="AWPU_Primary_DD_rate">'[1]De Delegation'!$V$8</definedName>
    <definedName name="AWPU_Sec_DD_rate" localSheetId="8">'[1]De Delegation'!$W$9</definedName>
    <definedName name="AWPU_Sec_DD_rate" localSheetId="7">'[3]De Delegation'!$Y$9</definedName>
    <definedName name="AWPU_Sec_DD_rate" localSheetId="9">'[4]De Delegation'!$Y$9</definedName>
    <definedName name="AWPU_Sec_DD_rate">'[1]De Delegation'!$W$9</definedName>
    <definedName name="Capping_Scaling_YesNo" localSheetId="8">[1]Proforma!$J$61</definedName>
    <definedName name="Capping_Scaling_YesNo" localSheetId="7">[3]Proforma!$J$71</definedName>
    <definedName name="Capping_Scaling_YesNo" localSheetId="9">[4]Proforma!$J$71</definedName>
    <definedName name="Capping_Scaling_YesNo">[1]Proforma!$J$61</definedName>
    <definedName name="Ceiling" localSheetId="8">[1]Proforma!$D$62</definedName>
    <definedName name="Ceiling" localSheetId="7">[3]Proforma!$D$72</definedName>
    <definedName name="Ceiling" localSheetId="9">[4]Proforma!$D$72</definedName>
    <definedName name="Ceiling">[1]Proforma!$D$62</definedName>
    <definedName name="current_year">[6]Cover!$T$7</definedName>
    <definedName name="EAL_Pri" localSheetId="8">[1]Proforma!$E$25</definedName>
    <definedName name="EAL_Pri" localSheetId="7">[3]Proforma!$E$28</definedName>
    <definedName name="EAL_Pri" localSheetId="9">[4]Proforma!$E$28</definedName>
    <definedName name="EAL_Pri">[1]Proforma!$E$25</definedName>
    <definedName name="EAL_Pri_DD_rate" localSheetId="8">'[1]De Delegation'!$V$21</definedName>
    <definedName name="EAL_Pri_DD_rate" localSheetId="7">'[3]De Delegation'!$X$21</definedName>
    <definedName name="EAL_Pri_DD_rate" localSheetId="9">'[4]De Delegation'!$X$21</definedName>
    <definedName name="EAL_Pri_DD_rate">'[1]De Delegation'!$V$21</definedName>
    <definedName name="EAL_Pri_Option" localSheetId="8">[1]Proforma!$D$25</definedName>
    <definedName name="EAL_Pri_Option" localSheetId="7">[3]Proforma!$D$28</definedName>
    <definedName name="EAL_Pri_Option" localSheetId="9">[4]Proforma!$D$28</definedName>
    <definedName name="EAL_Pri_Option">[1]Proforma!$D$25</definedName>
    <definedName name="EAL_Sec" localSheetId="8">[1]Proforma!$F$26</definedName>
    <definedName name="EAL_Sec" localSheetId="7">[3]Proforma!$F$29</definedName>
    <definedName name="EAL_Sec" localSheetId="9">[4]Proforma!$F$29</definedName>
    <definedName name="EAL_Sec">[1]Proforma!$F$26</definedName>
    <definedName name="EAL_Sec_DD_rate" localSheetId="8">'[1]De Delegation'!$W$22</definedName>
    <definedName name="EAL_Sec_DD_rate" localSheetId="7">'[3]De Delegation'!$Y$22</definedName>
    <definedName name="EAL_Sec_DD_rate" localSheetId="9">'[4]De Delegation'!$Y$22</definedName>
    <definedName name="EAL_Sec_DD_rate">'[1]De Delegation'!$W$22</definedName>
    <definedName name="EAL_Sec_Option" localSheetId="8">[1]Proforma!$D$26</definedName>
    <definedName name="EAL_Sec_Option" localSheetId="7">[3]Proforma!$D$29</definedName>
    <definedName name="EAL_Sec_Option" localSheetId="9">[4]Proforma!$D$29</definedName>
    <definedName name="EAL_Sec_Option">[1]Proforma!$D$26</definedName>
    <definedName name="Ever6_Pri_DD_Rate" localSheetId="7">'[3]De Delegation'!$X$11</definedName>
    <definedName name="Ever6_Pri_DD_Rate" localSheetId="9">'[4]De Delegation'!$X$11</definedName>
    <definedName name="Ever6_Pri_DD_Rate">'[7]De Delegation'!$X$11</definedName>
    <definedName name="Ever6_pri_rate" localSheetId="7">[3]Proforma!$E$19</definedName>
    <definedName name="Ever6_pri_rate" localSheetId="9">[4]Proforma!$E$19</definedName>
    <definedName name="Ever6_pri_rate">[7]Proforma!$E$21</definedName>
    <definedName name="Ever6_Sec_DD_Rate" localSheetId="7">'[3]De Delegation'!$Y$11</definedName>
    <definedName name="Ever6_Sec_DD_Rate" localSheetId="9">'[4]De Delegation'!$Y$11</definedName>
    <definedName name="Ever6_Sec_DD_Rate">'[7]De Delegation'!$Y$11</definedName>
    <definedName name="Ever6_sec_rate" localSheetId="7">[3]Proforma!$F$19</definedName>
    <definedName name="Ever6_sec_rate" localSheetId="9">[4]Proforma!$F$19</definedName>
    <definedName name="Ever6_sec_rate">[7]Proforma!$F$21</definedName>
    <definedName name="Exc_Cir1_Total" localSheetId="8">'[1]New ISB'!$AJ$5</definedName>
    <definedName name="Exc_Cir1_Total" localSheetId="7">'[3]New ISB'!$AN$5</definedName>
    <definedName name="Exc_Cir1_Total" localSheetId="9">'[4]New ISB'!$AN$5</definedName>
    <definedName name="Exc_Cir1_Total">'[1]New ISB'!$AJ$5</definedName>
    <definedName name="Exc_Cir2_Total" localSheetId="8">'[1]New ISB'!$AK$5</definedName>
    <definedName name="Exc_Cir2_Total" localSheetId="7">'[3]New ISB'!$AO$5</definedName>
    <definedName name="Exc_Cir2_Total" localSheetId="9">'[4]New ISB'!$AO$5</definedName>
    <definedName name="Exc_Cir2_Total">'[1]New ISB'!$AK$5</definedName>
    <definedName name="Exc_Cir3_Total" localSheetId="8">'[1]New ISB'!$AL$5</definedName>
    <definedName name="Exc_Cir3_Total" localSheetId="7">'[3]New ISB'!$AP$5</definedName>
    <definedName name="Exc_Cir3_Total" localSheetId="9">'[4]New ISB'!$AP$5</definedName>
    <definedName name="Exc_Cir3_Total">'[1]New ISB'!$AL$5</definedName>
    <definedName name="Exc_Cir4_Total" localSheetId="8">'[1]New ISB'!$AM$5</definedName>
    <definedName name="Exc_Cir4_Total" localSheetId="7">'[3]New ISB'!$AQ$5</definedName>
    <definedName name="Exc_Cir4_Total" localSheetId="9">'[4]New ISB'!$AQ$5</definedName>
    <definedName name="Exc_Cir4_Total">'[1]New ISB'!$AM$5</definedName>
    <definedName name="Exc_Cir5_Total" localSheetId="8">'[1]New ISB'!$AN$5</definedName>
    <definedName name="Exc_Cir5_Total" localSheetId="7">'[3]New ISB'!$AR$5</definedName>
    <definedName name="Exc_Cir5_Total" localSheetId="9">'[4]New ISB'!$AR$5</definedName>
    <definedName name="Exc_Cir5_Total">'[1]New ISB'!$AN$5</definedName>
    <definedName name="Exc_Cir6_Total" localSheetId="8">'[1]New ISB'!$AO$5</definedName>
    <definedName name="Exc_Cir6_Total" localSheetId="7">'[3]New ISB'!$AS$5</definedName>
    <definedName name="Exc_Cir6_Total" localSheetId="9">'[4]New ISB'!$AS$5</definedName>
    <definedName name="Exc_Cir6_Total">'[1]New ISB'!$AO$5</definedName>
    <definedName name="Exc_Cir7_Total" localSheetId="7">'[3]New ISB'!$AT$5</definedName>
    <definedName name="Exc_Cir7_Total" localSheetId="9">'[4]New ISB'!$AT$5</definedName>
    <definedName name="Exc_Cir7_Total">'[7]New ISB'!$AQ$5</definedName>
    <definedName name="_xlnm.Extract" localSheetId="11">#REF!</definedName>
    <definedName name="_xlnm.Extract">#REF!</definedName>
    <definedName name="Fringe_Total" localSheetId="8">'[1]New ISB'!$AE$5</definedName>
    <definedName name="Fringe_Total" localSheetId="7">'[3]New ISB'!$AJ$5</definedName>
    <definedName name="Fringe_Total" localSheetId="9">'[4]New ISB'!$AJ$5</definedName>
    <definedName name="Fringe_Total">'[1]New ISB'!$AE$5</definedName>
    <definedName name="FSM_Pri_DD_rate" localSheetId="8">'[1]De Delegation'!$V$10</definedName>
    <definedName name="FSM_Pri_DD_rate" localSheetId="7">'[3]De Delegation'!$X$10</definedName>
    <definedName name="FSM_Pri_DD_rate" localSheetId="9">'[4]De Delegation'!$X$10</definedName>
    <definedName name="FSM_Pri_DD_rate">'[1]De Delegation'!$V$10</definedName>
    <definedName name="FSM_Pri_Option" localSheetId="8">[1]Proforma!$D$15</definedName>
    <definedName name="FSM_Pri_Option">[1]Proforma!$D$15</definedName>
    <definedName name="FSM_Pri_Rate" localSheetId="8">[1]Proforma!$E$15</definedName>
    <definedName name="FSM_Pri_Rate" localSheetId="7">[3]Proforma!$E$18</definedName>
    <definedName name="FSM_Pri_Rate" localSheetId="9">[4]Proforma!$E$18</definedName>
    <definedName name="FSM_Pri_Rate">[1]Proforma!$E$15</definedName>
    <definedName name="FSM_Sec_DD_rate" localSheetId="8">'[1]De Delegation'!$W$11</definedName>
    <definedName name="FSM_Sec_DD_rate" localSheetId="7">'[3]De Delegation'!$Y$10</definedName>
    <definedName name="FSM_Sec_DD_rate" localSheetId="9">'[4]De Delegation'!$Y$10</definedName>
    <definedName name="FSM_Sec_DD_rate">'[1]De Delegation'!$W$11</definedName>
    <definedName name="FSM_Sec_Option" localSheetId="8">[1]Proforma!$D$16</definedName>
    <definedName name="FSM_Sec_Option">[1]Proforma!$D$16</definedName>
    <definedName name="FSM_Sec_Rate" localSheetId="8">[1]Proforma!$F$16</definedName>
    <definedName name="FSM_Sec_Rate" localSheetId="7">[3]Proforma!$F$18</definedName>
    <definedName name="FSM_Sec_Rate" localSheetId="9">[4]Proforma!$F$18</definedName>
    <definedName name="FSM_Sec_Rate">[1]Proforma!$F$16</definedName>
    <definedName name="IDACI_B1_Pri" localSheetId="8">[1]Proforma!$E$17</definedName>
    <definedName name="IDACI_B1_Pri" localSheetId="7">[3]Proforma!$E$20</definedName>
    <definedName name="IDACI_B1_Pri" localSheetId="9">[4]Proforma!$E$20</definedName>
    <definedName name="IDACI_B1_Pri">[1]Proforma!$E$17</definedName>
    <definedName name="IDACI_B1_Pri_DD_rate" localSheetId="8">'[1]De Delegation'!$V$12</definedName>
    <definedName name="IDACI_B1_Pri_DD_rate" localSheetId="7">'[3]De Delegation'!$X$12</definedName>
    <definedName name="IDACI_B1_Pri_DD_rate" localSheetId="9">'[4]De Delegation'!$X$12</definedName>
    <definedName name="IDACI_B1_Pri_DD_rate">'[1]De Delegation'!$V$12</definedName>
    <definedName name="IDACI_B1_Sec" localSheetId="8">[1]Proforma!$F$17</definedName>
    <definedName name="IDACI_B1_Sec" localSheetId="7">[3]Proforma!$F$20</definedName>
    <definedName name="IDACI_B1_Sec" localSheetId="9">[4]Proforma!$F$20</definedName>
    <definedName name="IDACI_B1_Sec">[1]Proforma!$F$17</definedName>
    <definedName name="IDACI_B1_Sec_DD_rate" localSheetId="8">'[1]De Delegation'!$W$12</definedName>
    <definedName name="IDACI_B1_Sec_DD_rate" localSheetId="7">'[3]De Delegation'!$Y$12</definedName>
    <definedName name="IDACI_B1_Sec_DD_rate" localSheetId="9">'[4]De Delegation'!$Y$12</definedName>
    <definedName name="IDACI_B1_Sec_DD_rate">'[1]De Delegation'!$W$12</definedName>
    <definedName name="IDACI_B2_Pri" localSheetId="8">[1]Proforma!$E$18</definedName>
    <definedName name="IDACI_B2_Pri" localSheetId="7">[3]Proforma!$E$21</definedName>
    <definedName name="IDACI_B2_Pri" localSheetId="9">[4]Proforma!$E$21</definedName>
    <definedName name="IDACI_B2_Pri">[1]Proforma!$E$18</definedName>
    <definedName name="IDACI_B2_Pri_DD_rate" localSheetId="8">'[1]De Delegation'!$V$13</definedName>
    <definedName name="IDACI_B2_Pri_DD_rate" localSheetId="7">'[3]De Delegation'!$X$13</definedName>
    <definedName name="IDACI_B2_Pri_DD_rate" localSheetId="9">'[4]De Delegation'!$X$13</definedName>
    <definedName name="IDACI_B2_Pri_DD_rate">'[1]De Delegation'!$V$13</definedName>
    <definedName name="IDACI_B2_Sec" localSheetId="8">[1]Proforma!$F$18</definedName>
    <definedName name="IDACI_B2_Sec" localSheetId="7">[3]Proforma!$F$21</definedName>
    <definedName name="IDACI_B2_Sec" localSheetId="9">[4]Proforma!$F$21</definedName>
    <definedName name="IDACI_B2_Sec">[1]Proforma!$F$18</definedName>
    <definedName name="IDACI_B2_Sec_DD_rate" localSheetId="8">'[1]De Delegation'!$W$13</definedName>
    <definedName name="IDACI_B2_Sec_DD_rate" localSheetId="7">'[3]De Delegation'!$Y$13</definedName>
    <definedName name="IDACI_B2_Sec_DD_rate" localSheetId="9">'[4]De Delegation'!$Y$13</definedName>
    <definedName name="IDACI_B2_Sec_DD_rate">'[1]De Delegation'!$W$13</definedName>
    <definedName name="IDACI_B3_Pri" localSheetId="8">[1]Proforma!$E$19</definedName>
    <definedName name="IDACI_B3_Pri" localSheetId="7">[3]Proforma!$E$22</definedName>
    <definedName name="IDACI_B3_Pri" localSheetId="9">[4]Proforma!$E$22</definedName>
    <definedName name="IDACI_B3_Pri">[1]Proforma!$E$19</definedName>
    <definedName name="IDACI_B3_Pri_DD_rate" localSheetId="8">'[1]De Delegation'!$V$14</definedName>
    <definedName name="IDACI_B3_Pri_DD_rate" localSheetId="7">'[3]De Delegation'!$X$14</definedName>
    <definedName name="IDACI_B3_Pri_DD_rate" localSheetId="9">'[4]De Delegation'!$X$14</definedName>
    <definedName name="IDACI_B3_Pri_DD_rate">'[1]De Delegation'!$V$14</definedName>
    <definedName name="IDACI_B3_Sec" localSheetId="8">[1]Proforma!$F$19</definedName>
    <definedName name="IDACI_B3_Sec" localSheetId="7">[3]Proforma!$F$22</definedName>
    <definedName name="IDACI_B3_Sec" localSheetId="9">[4]Proforma!$F$22</definedName>
    <definedName name="IDACI_B3_Sec">[1]Proforma!$F$19</definedName>
    <definedName name="IDACI_B3_Sec_DD_rate" localSheetId="8">'[1]De Delegation'!$W$14</definedName>
    <definedName name="IDACI_B3_Sec_DD_rate" localSheetId="7">'[3]De Delegation'!$Y$14</definedName>
    <definedName name="IDACI_B3_Sec_DD_rate" localSheetId="9">'[4]De Delegation'!$Y$14</definedName>
    <definedName name="IDACI_B3_Sec_DD_rate">'[1]De Delegation'!$W$14</definedName>
    <definedName name="IDACI_B4_Pri" localSheetId="8">[1]Proforma!$E$20</definedName>
    <definedName name="IDACI_B4_Pri" localSheetId="7">[3]Proforma!$E$23</definedName>
    <definedName name="IDACI_B4_Pri" localSheetId="9">[4]Proforma!$E$23</definedName>
    <definedName name="IDACI_B4_Pri">[1]Proforma!$E$20</definedName>
    <definedName name="IDACI_B4_Pri_DD_rate" localSheetId="8">'[1]De Delegation'!$V$15</definedName>
    <definedName name="IDACI_B4_Pri_DD_rate" localSheetId="7">'[3]De Delegation'!$X$15</definedName>
    <definedName name="IDACI_B4_Pri_DD_rate" localSheetId="9">'[4]De Delegation'!$X$15</definedName>
    <definedName name="IDACI_B4_Pri_DD_rate">'[1]De Delegation'!$V$15</definedName>
    <definedName name="IDACI_B4_Sec" localSheetId="8">[1]Proforma!$F$20</definedName>
    <definedName name="IDACI_B4_Sec" localSheetId="7">[3]Proforma!$F$23</definedName>
    <definedName name="IDACI_B4_Sec" localSheetId="9">[4]Proforma!$F$23</definedName>
    <definedName name="IDACI_B4_Sec">[1]Proforma!$F$20</definedName>
    <definedName name="IDACI_B4_Sec_DD_rate" localSheetId="8">'[1]De Delegation'!$W$15</definedName>
    <definedName name="IDACI_B4_Sec_DD_rate" localSheetId="7">'[3]De Delegation'!$Y$15</definedName>
    <definedName name="IDACI_B4_Sec_DD_rate" localSheetId="9">'[4]De Delegation'!$Y$15</definedName>
    <definedName name="IDACI_B4_Sec_DD_rate">'[1]De Delegation'!$W$15</definedName>
    <definedName name="IDACI_B5_Pri" localSheetId="8">[1]Proforma!$E$21</definedName>
    <definedName name="IDACI_B5_Pri" localSheetId="7">[3]Proforma!$E$24</definedName>
    <definedName name="IDACI_B5_Pri" localSheetId="9">[4]Proforma!$E$24</definedName>
    <definedName name="IDACI_B5_Pri">[1]Proforma!$E$21</definedName>
    <definedName name="IDACI_B5_Pri_DD_rate" localSheetId="8">'[1]De Delegation'!$V$16</definedName>
    <definedName name="IDACI_B5_Pri_DD_rate" localSheetId="7">'[3]De Delegation'!$X$16</definedName>
    <definedName name="IDACI_B5_Pri_DD_rate" localSheetId="9">'[4]De Delegation'!$X$16</definedName>
    <definedName name="IDACI_B5_Pri_DD_rate">'[1]De Delegation'!$V$16</definedName>
    <definedName name="IDACI_B5_Sec" localSheetId="8">[1]Proforma!$F$21</definedName>
    <definedName name="IDACI_B5_Sec" localSheetId="7">[3]Proforma!$F$24</definedName>
    <definedName name="IDACI_B5_Sec" localSheetId="9">[4]Proforma!$F$24</definedName>
    <definedName name="IDACI_B5_Sec">[1]Proforma!$F$21</definedName>
    <definedName name="IDACI_B5_Sec_DD_rate" localSheetId="8">'[1]De Delegation'!$W$16</definedName>
    <definedName name="IDACI_B5_Sec_DD_rate" localSheetId="7">'[3]De Delegation'!$Y$16</definedName>
    <definedName name="IDACI_B5_Sec_DD_rate" localSheetId="9">'[4]De Delegation'!$Y$16</definedName>
    <definedName name="IDACI_B5_Sec_DD_rate">'[1]De Delegation'!$W$16</definedName>
    <definedName name="IDACI_B6_Pri" localSheetId="8">[1]Proforma!$E$22</definedName>
    <definedName name="IDACI_B6_Pri" localSheetId="7">[3]Proforma!$E$25</definedName>
    <definedName name="IDACI_B6_Pri" localSheetId="9">[4]Proforma!$E$25</definedName>
    <definedName name="IDACI_B6_Pri">[1]Proforma!$E$22</definedName>
    <definedName name="IDACI_B6_Pri_DD_rate" localSheetId="8">'[1]De Delegation'!$V$17</definedName>
    <definedName name="IDACI_B6_Pri_DD_rate" localSheetId="7">'[3]De Delegation'!$X$17</definedName>
    <definedName name="IDACI_B6_Pri_DD_rate" localSheetId="9">'[4]De Delegation'!$X$17</definedName>
    <definedName name="IDACI_B6_Pri_DD_rate">'[1]De Delegation'!$V$17</definedName>
    <definedName name="IDACI_B6_Sec" localSheetId="8">[1]Proforma!$F$22</definedName>
    <definedName name="IDACI_B6_Sec" localSheetId="7">[3]Proforma!$F$25</definedName>
    <definedName name="IDACI_B6_Sec" localSheetId="9">[4]Proforma!$F$25</definedName>
    <definedName name="IDACI_B6_Sec">[1]Proforma!$F$22</definedName>
    <definedName name="IDACI_B6_Sec_DD_rate" localSheetId="8">'[1]De Delegation'!$W$17</definedName>
    <definedName name="IDACI_B6_Sec_DD_rate" localSheetId="7">'[3]De Delegation'!$Y$17</definedName>
    <definedName name="IDACI_B6_Sec_DD_rate" localSheetId="9">'[4]De Delegation'!$Y$17</definedName>
    <definedName name="IDACI_B6_Sec_DD_rate">'[1]De Delegation'!$W$17</definedName>
    <definedName name="InstType1">'[8]PCN Lookups'!$I$10:$I$21</definedName>
    <definedName name="InstType2">'[8]PCN Lookups'!$J$10:$J$24</definedName>
    <definedName name="LAC_Pri_DD_rate" localSheetId="8">'[1]De Delegation'!$V$18</definedName>
    <definedName name="LAC_Pri_DD_rate" localSheetId="7">'[3]De Delegation'!$X$18</definedName>
    <definedName name="LAC_Pri_DD_rate" localSheetId="9">'[4]De Delegation'!$X$18</definedName>
    <definedName name="LAC_Pri_DD_rate">'[1]De Delegation'!$V$18</definedName>
    <definedName name="LAC_Rate" localSheetId="8">[1]Proforma!$E$24</definedName>
    <definedName name="LAC_Rate" localSheetId="7">[3]Proforma!$E$27</definedName>
    <definedName name="LAC_Rate" localSheetId="9">[4]Proforma!$E$27</definedName>
    <definedName name="LAC_Rate">[1]Proforma!$E$24</definedName>
    <definedName name="LAC_Sec_DD_rate" localSheetId="8">'[1]De Delegation'!$W$18</definedName>
    <definedName name="LAC_Sec_DD_rate" localSheetId="7">'[3]De Delegation'!$Y$18</definedName>
    <definedName name="LAC_Sec_DD_rate" localSheetId="9">'[4]De Delegation'!$Y$18</definedName>
    <definedName name="LAC_Sec_DD_rate">'[1]De Delegation'!$W$18</definedName>
    <definedName name="LACode">[9]LALookup!$A$1</definedName>
    <definedName name="LCHI_Pri" localSheetId="8">[1]Proforma!$F$29</definedName>
    <definedName name="LCHI_Pri" localSheetId="7">[3]Proforma!$F$32</definedName>
    <definedName name="LCHI_Pri" localSheetId="9">[4]Proforma!$F$32</definedName>
    <definedName name="LCHI_Pri">[1]Proforma!$F$29</definedName>
    <definedName name="LCHI_Pri_DD_rate" localSheetId="8">'[1]De Delegation'!$V$19</definedName>
    <definedName name="LCHI_Pri_DD_rate" localSheetId="7">'[3]De Delegation'!$X$19</definedName>
    <definedName name="LCHI_Pri_DD_rate" localSheetId="9">'[4]De Delegation'!$X$19</definedName>
    <definedName name="LCHI_Pri_DD_rate">'[1]De Delegation'!$V$19</definedName>
    <definedName name="LCHI_Pri_Option" localSheetId="8">[1]Proforma!$D$30</definedName>
    <definedName name="LCHI_Pri_Option">[1]Proforma!$D$30</definedName>
    <definedName name="LCHI_Sec" localSheetId="8">[1]Proforma!$F$31</definedName>
    <definedName name="LCHI_Sec" localSheetId="7">[3]Proforma!$F$33</definedName>
    <definedName name="LCHI_Sec" localSheetId="9">[4]Proforma!$F$33</definedName>
    <definedName name="LCHI_Sec">[1]Proforma!$F$31</definedName>
    <definedName name="LCHI_Sec_DD_rate" localSheetId="8">'[1]De Delegation'!$W$20</definedName>
    <definedName name="LCHI_Sec_DD_rate" localSheetId="7">'[3]De Delegation'!$Y$20</definedName>
    <definedName name="LCHI_Sec_DD_rate" localSheetId="9">'[4]De Delegation'!$Y$20</definedName>
    <definedName name="LCHI_Sec_DD_rate">'[1]De Delegation'!$W$20</definedName>
    <definedName name="Lump_sum_Pri_DD_rate" localSheetId="8">'[1]De Delegation'!$V$24</definedName>
    <definedName name="Lump_sum_Pri_DD_rate" localSheetId="7">'[3]De Delegation'!$X$24</definedName>
    <definedName name="Lump_sum_Pri_DD_rate" localSheetId="9">'[4]De Delegation'!$X$24</definedName>
    <definedName name="Lump_sum_Pri_DD_rate">'[1]De Delegation'!$V$24</definedName>
    <definedName name="Lump_sum_Sec_DD_rate" localSheetId="8">'[1]De Delegation'!$W$24</definedName>
    <definedName name="Lump_sum_Sec_DD_rate" localSheetId="7">'[3]De Delegation'!$Y$24</definedName>
    <definedName name="Lump_sum_Sec_DD_rate" localSheetId="9">'[4]De Delegation'!$Y$24</definedName>
    <definedName name="Lump_sum_Sec_DD_rate">'[1]De Delegation'!$W$24</definedName>
    <definedName name="Lump_Sum_total" localSheetId="8">'[1]New ISB'!$AC$5</definedName>
    <definedName name="Lump_Sum_total" localSheetId="7">'[3]New ISB'!$AH$5</definedName>
    <definedName name="Lump_Sum_total" localSheetId="9">'[4]New ISB'!$AH$5</definedName>
    <definedName name="Lump_Sum_total">'[1]New ISB'!$AC$5</definedName>
    <definedName name="MFG_Rate" localSheetId="7">[3]Proforma!$H$69</definedName>
    <definedName name="MFG_Rate" localSheetId="9">[4]Proforma!$H$69</definedName>
    <definedName name="MFG_Rate">[7]Proforma!$H$69</definedName>
    <definedName name="MFG_Total" localSheetId="8">'[1]New ISB'!$BB$5</definedName>
    <definedName name="MFG_Total" localSheetId="7">'[3]New ISB'!$BO$5</definedName>
    <definedName name="MFG_Total" localSheetId="9">'[4]New ISB'!$BO$5</definedName>
    <definedName name="MFG_Total">'[1]New ISB'!$BB$5</definedName>
    <definedName name="Mid_distance_threshold" localSheetId="8">[1]Proforma!$D$42</definedName>
    <definedName name="Mid_distance_threshold" localSheetId="7">[3]Proforma!$D$48</definedName>
    <definedName name="Mid_distance_threshold" localSheetId="9">[4]Proforma!$D$48</definedName>
    <definedName name="Mid_distance_threshold">[1]Proforma!$D$42</definedName>
    <definedName name="Mid_PupilNo_threshold" localSheetId="8">[1]Proforma!$G$42</definedName>
    <definedName name="Mid_PupilNo_threshold" localSheetId="7">[3]Proforma!$G$48</definedName>
    <definedName name="Mid_PupilNo_threshold" localSheetId="9">[4]Proforma!$G$48</definedName>
    <definedName name="Mid_PupilNo_threshold">[1]Proforma!$G$42</definedName>
    <definedName name="min_pupil_rate_KS3" localSheetId="7">[3]Proforma!$E$9</definedName>
    <definedName name="min_pupil_rate_KS3" localSheetId="9">[4]Proforma!$E$9</definedName>
    <definedName name="min_pupil_rate_KS3">[7]Proforma!$E$11</definedName>
    <definedName name="min_pupil_rate_KS4" localSheetId="7">[3]Proforma!$G$9</definedName>
    <definedName name="min_pupil_rate_KS4" localSheetId="9">[4]Proforma!$G$9</definedName>
    <definedName name="min_pupil_rate_KS4">[7]Proforma!$G$11</definedName>
    <definedName name="min_pupil_rate_pri" localSheetId="7">[3]Proforma!$D$9</definedName>
    <definedName name="min_pupil_rate_pri" localSheetId="9">[4]Proforma!$D$9</definedName>
    <definedName name="min_pupil_rate_pri">[7]Proforma!$D$11</definedName>
    <definedName name="min_pupil_rate_sec" localSheetId="9">[4]Proforma!$I$9</definedName>
    <definedName name="min_pupil_rate_sec">[3]Proforma!$I$9</definedName>
    <definedName name="Mobility_Pri" localSheetId="8">[1]Proforma!$E$27</definedName>
    <definedName name="Mobility_Pri" localSheetId="7">[3]Proforma!$E$30</definedName>
    <definedName name="Mobility_Pri" localSheetId="9">[4]Proforma!$E$30</definedName>
    <definedName name="Mobility_Pri">[1]Proforma!$E$27</definedName>
    <definedName name="Mobility_Pri_DD_Rate" localSheetId="8">'[1]De Delegation'!$V$23</definedName>
    <definedName name="Mobility_Pri_DD_Rate" localSheetId="7">'[3]De Delegation'!$X$23</definedName>
    <definedName name="Mobility_Pri_DD_Rate" localSheetId="9">'[4]De Delegation'!$X$23</definedName>
    <definedName name="Mobility_Pri_DD_Rate">'[1]De Delegation'!$V$23</definedName>
    <definedName name="Mobility_Sec" localSheetId="8">[1]Proforma!$F$27</definedName>
    <definedName name="Mobility_Sec" localSheetId="7">[3]Proforma!$F$30</definedName>
    <definedName name="Mobility_Sec" localSheetId="9">[4]Proforma!$F$30</definedName>
    <definedName name="Mobility_Sec">[1]Proforma!$F$27</definedName>
    <definedName name="Mobility_Sec_DD_Rate" localSheetId="8">'[1]De Delegation'!$W$23</definedName>
    <definedName name="Mobility_Sec_DD_Rate" localSheetId="7">'[3]De Delegation'!$Y$23</definedName>
    <definedName name="Mobility_Sec_DD_Rate" localSheetId="9">'[4]De Delegation'!$Y$23</definedName>
    <definedName name="Mobility_Sec_DD_Rate">'[1]De Delegation'!$W$23</definedName>
    <definedName name="mppf_pri" localSheetId="7">'[3]New ISB'!$BC$5</definedName>
    <definedName name="mppf_pri" localSheetId="9">'[4]New ISB'!$BC$5</definedName>
    <definedName name="mppf_pri">'[7]New ISB'!$BB$5</definedName>
    <definedName name="mppf_sec" localSheetId="7">'[3]New ISB'!$BD$5</definedName>
    <definedName name="mppf_sec" localSheetId="9">'[4]New ISB'!$BD$5</definedName>
    <definedName name="mppf_sec">'[7]New ISB'!$BC$5</definedName>
    <definedName name="Notional_SEN_AWPU_KS3" localSheetId="8">[1]Proforma!$L$12</definedName>
    <definedName name="Notional_SEN_AWPU_KS3" localSheetId="7">[3]Proforma!$L$15</definedName>
    <definedName name="Notional_SEN_AWPU_KS3" localSheetId="9">[4]Proforma!$L$15</definedName>
    <definedName name="Notional_SEN_AWPU_KS3">[1]Proforma!$L$12</definedName>
    <definedName name="Notional_SEN_AWPU_KS4" localSheetId="8">[1]Proforma!$L$13</definedName>
    <definedName name="Notional_SEN_AWPU_KS4" localSheetId="7">[3]Proforma!$L$16</definedName>
    <definedName name="Notional_SEN_AWPU_KS4" localSheetId="9">[4]Proforma!$L$16</definedName>
    <definedName name="Notional_SEN_AWPU_KS4">[1]Proforma!$L$13</definedName>
    <definedName name="Notional_SEN_AWPU_Pri" localSheetId="8">[1]Proforma!$L$11</definedName>
    <definedName name="Notional_SEN_AWPU_Pri" localSheetId="7">[3]Proforma!$L$14</definedName>
    <definedName name="Notional_SEN_AWPU_Pri" localSheetId="9">[4]Proforma!$L$14</definedName>
    <definedName name="Notional_SEN_AWPU_Pri">[1]Proforma!$L$11</definedName>
    <definedName name="Notional_SEN_EAL_Pri" localSheetId="8">[1]Proforma!$L$25</definedName>
    <definedName name="Notional_SEN_EAL_Pri" localSheetId="7">[3]Proforma!$L$28</definedName>
    <definedName name="Notional_SEN_EAL_Pri" localSheetId="9">[4]Proforma!$L$28</definedName>
    <definedName name="Notional_SEN_EAL_Pri">[1]Proforma!$L$25</definedName>
    <definedName name="Notional_SEN_EAL_Sec" localSheetId="8">[1]Proforma!$M$26</definedName>
    <definedName name="Notional_SEN_EAL_Sec" localSheetId="7">[3]Proforma!$M$29</definedName>
    <definedName name="Notional_SEN_EAL_Sec" localSheetId="9">[4]Proforma!$M$29</definedName>
    <definedName name="Notional_SEN_EAL_Sec">[1]Proforma!$M$26</definedName>
    <definedName name="Notional_SEN_Ever6_Pri" localSheetId="7">[3]Proforma!$L$19</definedName>
    <definedName name="Notional_SEN_Ever6_Pri" localSheetId="9">[4]Proforma!$L$19</definedName>
    <definedName name="Notional_SEN_Ever6_Pri">[7]Proforma!$L$21</definedName>
    <definedName name="Notional_SEN_Ever6_Sec" localSheetId="7">[3]Proforma!$M$19</definedName>
    <definedName name="Notional_SEN_Ever6_Sec" localSheetId="9">[4]Proforma!$M$19</definedName>
    <definedName name="Notional_SEN_Ever6_Sec">[7]Proforma!$M$21</definedName>
    <definedName name="Notional_SEN_ExCir2" localSheetId="8">[1]Proforma!$L$52</definedName>
    <definedName name="Notional_SEN_ExCir2" localSheetId="7">[3]Proforma!$L$57</definedName>
    <definedName name="Notional_SEN_ExCir2" localSheetId="9">[4]Proforma!$L$57</definedName>
    <definedName name="Notional_SEN_ExCir2">[1]Proforma!$L$52</definedName>
    <definedName name="Notional_SEN_ExCir3" localSheetId="8">[1]Proforma!$L$53</definedName>
    <definedName name="Notional_SEN_ExCir3" localSheetId="7">[3]Proforma!$L$58</definedName>
    <definedName name="Notional_SEN_ExCir3" localSheetId="9">[4]Proforma!$L$58</definedName>
    <definedName name="Notional_SEN_ExCir3">[1]Proforma!$L$53</definedName>
    <definedName name="Notional_SEN_ExCir4" localSheetId="8">[1]Proforma!$L$54</definedName>
    <definedName name="Notional_SEN_ExCir4" localSheetId="7">[3]Proforma!$L$59</definedName>
    <definedName name="Notional_SEN_ExCir4" localSheetId="9">[4]Proforma!$L$59</definedName>
    <definedName name="Notional_SEN_ExCir4">[1]Proforma!$L$54</definedName>
    <definedName name="Notional_SEN_ExCir5" localSheetId="8">[1]Proforma!$L$55</definedName>
    <definedName name="Notional_SEN_ExCir5" localSheetId="7">[3]Proforma!$L$60</definedName>
    <definedName name="Notional_SEN_ExCir5" localSheetId="9">[4]Proforma!$L$60</definedName>
    <definedName name="Notional_SEN_ExCir5">[1]Proforma!$L$55</definedName>
    <definedName name="Notional_SEN_ExCir6" localSheetId="8">[1]Proforma!$L$56</definedName>
    <definedName name="Notional_SEN_ExCir6" localSheetId="7">[3]Proforma!$L$61</definedName>
    <definedName name="Notional_SEN_ExCir6" localSheetId="9">[4]Proforma!$L$61</definedName>
    <definedName name="Notional_SEN_ExCir6">[1]Proforma!$L$56</definedName>
    <definedName name="Notional_SEN_ExCir7" localSheetId="7">[3]Proforma!$L$62</definedName>
    <definedName name="Notional_SEN_ExCir7" localSheetId="9">[4]Proforma!$L$62</definedName>
    <definedName name="Notional_SEN_ExCir7">[7]Proforma!$L$63</definedName>
    <definedName name="Notional_SEN_FSM_Pri" localSheetId="8">[1]Proforma!$L$15</definedName>
    <definedName name="Notional_SEN_FSM_Pri" localSheetId="7">[3]Proforma!$L$18</definedName>
    <definedName name="Notional_SEN_FSM_Pri" localSheetId="9">[4]Proforma!$L$18</definedName>
    <definedName name="Notional_SEN_FSM_Pri">[1]Proforma!$L$15</definedName>
    <definedName name="Notional_SEN_FSM_Sec" localSheetId="8">[1]Proforma!$M$16</definedName>
    <definedName name="Notional_SEN_FSM_Sec" localSheetId="7">[3]Proforma!$M$18</definedName>
    <definedName name="Notional_SEN_FSM_Sec" localSheetId="9">[4]Proforma!$M$18</definedName>
    <definedName name="Notional_SEN_FSM_Sec">[1]Proforma!$M$16</definedName>
    <definedName name="Notional_SEN_IDACI_B1_Pri" localSheetId="8">[1]Proforma!$L$17</definedName>
    <definedName name="Notional_SEN_IDACI_B1_Pri" localSheetId="7">[3]Proforma!$L$20</definedName>
    <definedName name="Notional_SEN_IDACI_B1_Pri" localSheetId="9">[4]Proforma!$L$20</definedName>
    <definedName name="Notional_SEN_IDACI_B1_Pri">[1]Proforma!$L$17</definedName>
    <definedName name="Notional_SEN_IDACI_B1_Sec" localSheetId="8">[1]Proforma!$M$17</definedName>
    <definedName name="Notional_SEN_IDACI_B1_Sec" localSheetId="7">[3]Proforma!$M$20</definedName>
    <definedName name="Notional_SEN_IDACI_B1_Sec" localSheetId="9">[4]Proforma!$M$20</definedName>
    <definedName name="Notional_SEN_IDACI_B1_Sec">[1]Proforma!$M$17</definedName>
    <definedName name="Notional_SEN_IDACI_B2_Pri" localSheetId="8">[1]Proforma!$L$18</definedName>
    <definedName name="Notional_SEN_IDACI_B2_Pri" localSheetId="7">[3]Proforma!$L$21</definedName>
    <definedName name="Notional_SEN_IDACI_B2_Pri" localSheetId="9">[4]Proforma!$L$21</definedName>
    <definedName name="Notional_SEN_IDACI_B2_Pri">[1]Proforma!$L$18</definedName>
    <definedName name="Notional_SEN_IDACI_B2_Sec" localSheetId="8">[1]Proforma!$M$18</definedName>
    <definedName name="Notional_SEN_IDACI_B2_Sec" localSheetId="7">[3]Proforma!$M$21</definedName>
    <definedName name="Notional_SEN_IDACI_B2_Sec" localSheetId="9">[4]Proforma!$M$21</definedName>
    <definedName name="Notional_SEN_IDACI_B2_Sec">[1]Proforma!$M$18</definedName>
    <definedName name="Notional_SEN_IDACI_B3_Pri" localSheetId="8">[1]Proforma!$L$19</definedName>
    <definedName name="Notional_SEN_IDACI_B3_Pri" localSheetId="7">[3]Proforma!$L$22</definedName>
    <definedName name="Notional_SEN_IDACI_B3_Pri" localSheetId="9">[4]Proforma!$L$22</definedName>
    <definedName name="Notional_SEN_IDACI_B3_Pri">[1]Proforma!$L$19</definedName>
    <definedName name="Notional_SEN_IDACI_B3_Sec" localSheetId="8">[1]Proforma!$M$19</definedName>
    <definedName name="Notional_SEN_IDACI_B3_Sec" localSheetId="7">[3]Proforma!$M$22</definedName>
    <definedName name="Notional_SEN_IDACI_B3_Sec" localSheetId="9">[4]Proforma!$M$22</definedName>
    <definedName name="Notional_SEN_IDACI_B3_Sec">[1]Proforma!$M$19</definedName>
    <definedName name="Notional_SEN_IDACI_B4_Pri" localSheetId="8">[1]Proforma!$L$20</definedName>
    <definedName name="Notional_SEN_IDACI_B4_Pri" localSheetId="7">[3]Proforma!$L$23</definedName>
    <definedName name="Notional_SEN_IDACI_B4_Pri" localSheetId="9">[4]Proforma!$L$23</definedName>
    <definedName name="Notional_SEN_IDACI_B4_Pri">[1]Proforma!$L$20</definedName>
    <definedName name="Notional_SEN_IDACI_B4_Sec" localSheetId="8">[1]Proforma!$M$20</definedName>
    <definedName name="Notional_SEN_IDACI_B4_Sec" localSheetId="7">[3]Proforma!$M$23</definedName>
    <definedName name="Notional_SEN_IDACI_B4_Sec" localSheetId="9">[4]Proforma!$M$23</definedName>
    <definedName name="Notional_SEN_IDACI_B4_Sec">[1]Proforma!$M$20</definedName>
    <definedName name="Notional_SEN_IDACI_B5_Pri" localSheetId="8">[1]Proforma!$L$21</definedName>
    <definedName name="Notional_SEN_IDACI_B5_Pri" localSheetId="7">[3]Proforma!$L$24</definedName>
    <definedName name="Notional_SEN_IDACI_B5_Pri" localSheetId="9">[4]Proforma!$L$24</definedName>
    <definedName name="Notional_SEN_IDACI_B5_Pri">[1]Proforma!$L$21</definedName>
    <definedName name="Notional_SEN_IDACI_B5_Sec" localSheetId="8">[1]Proforma!$M$21</definedName>
    <definedName name="Notional_SEN_IDACI_B5_Sec" localSheetId="7">[3]Proforma!$M$24</definedName>
    <definedName name="Notional_SEN_IDACI_B5_Sec" localSheetId="9">[4]Proforma!$M$24</definedName>
    <definedName name="Notional_SEN_IDACI_B5_Sec">[1]Proforma!$M$21</definedName>
    <definedName name="Notional_SEN_IDACI_B6_Pri" localSheetId="8">[1]Proforma!$L$22</definedName>
    <definedName name="Notional_SEN_IDACI_B6_Pri" localSheetId="7">[3]Proforma!$L$25</definedName>
    <definedName name="Notional_SEN_IDACI_B6_Pri" localSheetId="9">[4]Proforma!$L$25</definedName>
    <definedName name="Notional_SEN_IDACI_B6_Pri">[1]Proforma!$L$22</definedName>
    <definedName name="Notional_SEN_IDACI_B6_Sec" localSheetId="8">[1]Proforma!$M$22</definedName>
    <definedName name="Notional_SEN_IDACI_B6_Sec" localSheetId="7">[3]Proforma!$M$25</definedName>
    <definedName name="Notional_SEN_IDACI_B6_Sec" localSheetId="9">[4]Proforma!$M$25</definedName>
    <definedName name="Notional_SEN_IDACI_B6_Sec">[1]Proforma!$M$22</definedName>
    <definedName name="Notional_SEN_LAC" localSheetId="8">[1]Proforma!$L$24</definedName>
    <definedName name="Notional_SEN_LAC" localSheetId="7">[3]Proforma!$L$27</definedName>
    <definedName name="Notional_SEN_LAC" localSheetId="9">[4]Proforma!$L$27</definedName>
    <definedName name="Notional_SEN_LAC">[1]Proforma!$L$24</definedName>
    <definedName name="Notional_SEN_LCHI_Pri" localSheetId="8">[1]Proforma!$L$29</definedName>
    <definedName name="Notional_SEN_LCHI_Pri" localSheetId="7">[3]Proforma!$L$32</definedName>
    <definedName name="Notional_SEN_LCHI_Pri" localSheetId="9">[4]Proforma!$L$32</definedName>
    <definedName name="Notional_SEN_LCHI_Pri">[1]Proforma!$L$29</definedName>
    <definedName name="Notional_SEN_LCHI_Sec" localSheetId="8">[1]Proforma!$M$31</definedName>
    <definedName name="Notional_SEN_LCHI_Sec" localSheetId="7">[3]Proforma!$M$33</definedName>
    <definedName name="Notional_SEN_LCHI_Sec" localSheetId="9">[4]Proforma!$M$33</definedName>
    <definedName name="Notional_SEN_LCHI_Sec">[1]Proforma!$M$31</definedName>
    <definedName name="Notional_SEN_Lump_sum_Pri" localSheetId="8">[1]Proforma!$L$37</definedName>
    <definedName name="Notional_SEN_Lump_sum_Pri" localSheetId="7">[3]Proforma!$L$43</definedName>
    <definedName name="Notional_SEN_Lump_sum_Pri" localSheetId="9">[4]Proforma!$L$43</definedName>
    <definedName name="Notional_SEN_Lump_sum_Pri">[1]Proforma!$L$37</definedName>
    <definedName name="Notional_SEN_Lump_sum_Sec" localSheetId="8">[1]Proforma!$M$37</definedName>
    <definedName name="Notional_SEN_Lump_sum_Sec" localSheetId="7">[3]Proforma!$M$43</definedName>
    <definedName name="Notional_SEN_Lump_sum_Sec" localSheetId="9">[4]Proforma!$M$43</definedName>
    <definedName name="Notional_SEN_Lump_sum_Sec">[1]Proforma!$M$37</definedName>
    <definedName name="Notional_SEN_MFG" localSheetId="9">[4]Proforma!$L$76</definedName>
    <definedName name="Notional_SEN_MFG">[3]Proforma!$L$76</definedName>
    <definedName name="Notional_SEN_Mobility_Pri" localSheetId="8">[1]Proforma!$L$27</definedName>
    <definedName name="Notional_SEN_Mobility_Pri" localSheetId="7">[3]Proforma!$L$30</definedName>
    <definedName name="Notional_SEN_Mobility_Pri" localSheetId="9">[4]Proforma!$L$30</definedName>
    <definedName name="Notional_SEN_Mobility_Pri">[1]Proforma!$L$27</definedName>
    <definedName name="Notional_SEN_Mobility_Sec" localSheetId="8">[1]Proforma!$M$27</definedName>
    <definedName name="Notional_SEN_Mobility_Sec" localSheetId="7">[3]Proforma!$M$30</definedName>
    <definedName name="Notional_SEN_Mobility_Sec" localSheetId="9">[4]Proforma!$M$30</definedName>
    <definedName name="Notional_SEN_Mobility_Sec">[1]Proforma!$M$27</definedName>
    <definedName name="Notional_SEN_MPPF" localSheetId="9">[4]Proforma!$L$66</definedName>
    <definedName name="Notional_SEN_MPPF">[3]Proforma!$L$66</definedName>
    <definedName name="Notional_SEN_PFI" localSheetId="8">[1]Proforma!$L$47</definedName>
    <definedName name="Notional_SEN_PFI" localSheetId="7">[3]Proforma!$L$53</definedName>
    <definedName name="Notional_SEN_PFI" localSheetId="9">[4]Proforma!$L$53</definedName>
    <definedName name="Notional_SEN_PFI">[1]Proforma!$L$47</definedName>
    <definedName name="Notional_SEN_Rates" localSheetId="8">[1]Proforma!$L$46</definedName>
    <definedName name="Notional_SEN_Rates" localSheetId="7">[3]Proforma!$L$52</definedName>
    <definedName name="Notional_SEN_Rates" localSheetId="9">[4]Proforma!$L$52</definedName>
    <definedName name="Notional_SEN_Rates">[1]Proforma!$L$46</definedName>
    <definedName name="Notional_SEN_SixthForm" localSheetId="8">[1]Proforma!$L$48</definedName>
    <definedName name="Notional_SEN_SixthForm">[1]Proforma!$L$48</definedName>
    <definedName name="Notional_SEN_Sparsity_Pri" localSheetId="8">[1]Proforma!$L$38</definedName>
    <definedName name="Notional_SEN_Sparsity_Pri" localSheetId="7">[3]Proforma!$L$44</definedName>
    <definedName name="Notional_SEN_Sparsity_Pri" localSheetId="9">[4]Proforma!$L$44</definedName>
    <definedName name="Notional_SEN_Sparsity_Pri">[1]Proforma!$L$38</definedName>
    <definedName name="Notional_SEN_Sparsity_Sec" localSheetId="8">[1]Proforma!$M$38</definedName>
    <definedName name="Notional_SEN_Sparsity_Sec" localSheetId="7">[3]Proforma!$M$44</definedName>
    <definedName name="Notional_SEN_Sparsity_Sec" localSheetId="9">[4]Proforma!$M$44</definedName>
    <definedName name="Notional_SEN_Sparsity_Sec">[1]Proforma!$M$38</definedName>
    <definedName name="Notional_SEN_Split_sites" localSheetId="8">[1]Proforma!$L$45</definedName>
    <definedName name="Notional_SEN_Split_sites" localSheetId="7">[3]Proforma!$L$51</definedName>
    <definedName name="Notional_SEN_Split_sites" localSheetId="9">[4]Proforma!$L$51</definedName>
    <definedName name="Notional_SEN_Split_sites">[1]Proforma!$L$45</definedName>
    <definedName name="PFI_Total" localSheetId="8">'[1]New ISB'!$AH$5</definedName>
    <definedName name="PFI_Total" localSheetId="7">'[3]New ISB'!$AM$5</definedName>
    <definedName name="PFI_Total" localSheetId="9">'[4]New ISB'!$AM$5</definedName>
    <definedName name="PFI_Total">'[1]New ISB'!$AH$5</definedName>
    <definedName name="Pri_distance_threshold" localSheetId="8">[1]Proforma!$D$40</definedName>
    <definedName name="Pri_distance_threshold" localSheetId="7">[3]Proforma!$D$46</definedName>
    <definedName name="Pri_distance_threshold" localSheetId="9">[4]Proforma!$D$46</definedName>
    <definedName name="Pri_distance_threshold">[1]Proforma!$D$40</definedName>
    <definedName name="Pri_PupilNo_threshold" localSheetId="8">[1]Proforma!$G$40</definedName>
    <definedName name="Pri_PupilNo_threshold" localSheetId="7">[3]Proforma!$G$46</definedName>
    <definedName name="Pri_PupilNo_threshold" localSheetId="9">[4]Proforma!$G$46</definedName>
    <definedName name="Pri_PupilNo_threshold">[1]Proforma!$G$40</definedName>
    <definedName name="Primary_Lump_sum" localSheetId="8">[1]Proforma!$F$37</definedName>
    <definedName name="Primary_Lump_sum" localSheetId="7">[3]Proforma!$F$43</definedName>
    <definedName name="Primary_Lump_sum" localSheetId="9">[4]Proforma!$F$43</definedName>
    <definedName name="Primary_Lump_sum">[1]Proforma!$F$37</definedName>
    <definedName name="_xlnm.Print_Area" localSheetId="11">'3-16'!$A$1:$I$91</definedName>
    <definedName name="_xlnm.Print_Area" localSheetId="8">'IR Budget 2021 22'!$C$1:$AO$47</definedName>
    <definedName name="_xlnm.Print_Area" localSheetId="7">'MFG-Gains A4'!$A$1:$H$42</definedName>
    <definedName name="_xlnm.Print_Area" localSheetId="2">Primary!$A$1:$K$79</definedName>
    <definedName name="_xlnm.Print_Area" localSheetId="3">Secondary!$A$1:$K$77</definedName>
    <definedName name="Print_Area_MI">'[10]Core Data 0405'!$A$78:$AP$169</definedName>
    <definedName name="Print_Titles_MI">'[10]Core Data 0405'!$A$1:$IV$2</definedName>
    <definedName name="Rates_Total" localSheetId="8">'[1]New ISB'!$AG$5</definedName>
    <definedName name="Rates_Total" localSheetId="7">'[3]New ISB'!$AL$5</definedName>
    <definedName name="Rates_Total" localSheetId="9">'[4]New ISB'!$AL$5</definedName>
    <definedName name="Rates_Total">'[1]New ISB'!$AG$5</definedName>
    <definedName name="Reasons_list" localSheetId="8">'[1]Inputs &amp; Adjustments'!$BR$6:$BR$14</definedName>
    <definedName name="Reasons_list" localSheetId="7">'[3]Inputs &amp; Adjustments'!$DC$6:$DC$13</definedName>
    <definedName name="Reasons_list" localSheetId="9">'[4]Inputs &amp; Adjustments'!$DC$6:$DC$13</definedName>
    <definedName name="Reasons_list">'[1]Inputs &amp; Adjustments'!$BR$6:$BR$14</definedName>
    <definedName name="Reception_Uplift_YesNo" localSheetId="8">[1]Proforma!$E$9</definedName>
    <definedName name="Reception_Uplift_YesNo" localSheetId="7">[3]Proforma!$E$12</definedName>
    <definedName name="Reception_Uplift_YesNo" localSheetId="9">[4]Proforma!$E$12</definedName>
    <definedName name="Reception_Uplift_YesNo">[1]Proforma!$E$9</definedName>
    <definedName name="Scaling_Factor" localSheetId="8">[1]Proforma!$G$62</definedName>
    <definedName name="Scaling_Factor" localSheetId="7">[3]Proforma!$G$72</definedName>
    <definedName name="Scaling_Factor" localSheetId="9">[4]Proforma!$G$72</definedName>
    <definedName name="Scaling_Factor">[1]Proforma!$G$62</definedName>
    <definedName name="School_list" localSheetId="8">'[1]New ISB'!$C$6:$C$250</definedName>
    <definedName name="School_list" localSheetId="7">'[3]New ISB'!$C$6:$C$661</definedName>
    <definedName name="School_list" localSheetId="9">'[4]New ISB'!$C$6:$C$661</definedName>
    <definedName name="School_list">'[1]New ISB'!$C$6:$C$250</definedName>
    <definedName name="schools" localSheetId="11">[11]PLASC2005!#REF!</definedName>
    <definedName name="schools">[11]PLASC2005!#REF!</definedName>
    <definedName name="Sec_distance_threshold" localSheetId="8">[1]Proforma!$D$41</definedName>
    <definedName name="Sec_distance_threshold" localSheetId="7">[3]Proforma!$D$47</definedName>
    <definedName name="Sec_distance_threshold" localSheetId="9">[4]Proforma!$D$47</definedName>
    <definedName name="Sec_distance_threshold">[1]Proforma!$D$41</definedName>
    <definedName name="Sec_PupilNo_threshold" localSheetId="8">[1]Proforma!$G$41</definedName>
    <definedName name="Sec_PupilNo_threshold" localSheetId="7">[3]Proforma!$G$47</definedName>
    <definedName name="Sec_PupilNo_threshold" localSheetId="9">[4]Proforma!$G$47</definedName>
    <definedName name="Sec_PupilNo_threshold">[1]Proforma!$G$41</definedName>
    <definedName name="Secondary_Lump_Sum" localSheetId="8">[1]Proforma!$G$37</definedName>
    <definedName name="Secondary_Lump_Sum" localSheetId="7">[3]Proforma!$G$43</definedName>
    <definedName name="Secondary_Lump_Sum" localSheetId="9">[4]Proforma!$G$43</definedName>
    <definedName name="Secondary_Lump_Sum">[1]Proforma!$G$37</definedName>
    <definedName name="Sixth_Form_Total" localSheetId="8">'[1]New ISB'!$AI$5</definedName>
    <definedName name="Sixth_Form_Total">'[1]New ISB'!$AI$5</definedName>
    <definedName name="Sparsity_All_lump_sum" localSheetId="8">[1]Proforma!$I$38</definedName>
    <definedName name="Sparsity_All_lump_sum" localSheetId="7">[3]Proforma!$I$44</definedName>
    <definedName name="Sparsity_All_lump_sum" localSheetId="9">[4]Proforma!$I$44</definedName>
    <definedName name="Sparsity_All_lump_sum">[1]Proforma!$I$38</definedName>
    <definedName name="Sparsity_Mid_lump_sum" localSheetId="8">[1]Proforma!$H$38</definedName>
    <definedName name="Sparsity_Mid_lump_sum" localSheetId="7">[3]Proforma!$H$44</definedName>
    <definedName name="Sparsity_Mid_lump_sum" localSheetId="9">[4]Proforma!$H$44</definedName>
    <definedName name="Sparsity_Mid_lump_sum">[1]Proforma!$H$38</definedName>
    <definedName name="Sparsity_Pri_DD_percentage" localSheetId="8">'[1]De Delegation'!$V$26</definedName>
    <definedName name="Sparsity_Pri_DD_percentage" localSheetId="7">'[3]De Delegation'!$X$26</definedName>
    <definedName name="Sparsity_Pri_DD_percentage" localSheetId="9">'[4]De Delegation'!$X$26</definedName>
    <definedName name="Sparsity_Pri_DD_percentage">'[1]De Delegation'!$V$26</definedName>
    <definedName name="Sparsity_Pri_lump_sum" localSheetId="8">[1]Proforma!$F$38</definedName>
    <definedName name="Sparsity_Pri_lump_sum" localSheetId="7">[3]Proforma!$F$44</definedName>
    <definedName name="Sparsity_Pri_lump_sum" localSheetId="9">[4]Proforma!$F$44</definedName>
    <definedName name="Sparsity_Pri_lump_sum">[1]Proforma!$F$38</definedName>
    <definedName name="Sparsity_Sec_DD_percentage" localSheetId="8">'[1]De Delegation'!$W$26</definedName>
    <definedName name="Sparsity_Sec_DD_percentage" localSheetId="7">'[3]De Delegation'!$Y$26</definedName>
    <definedName name="Sparsity_Sec_DD_percentage" localSheetId="9">'[4]De Delegation'!$Y$26</definedName>
    <definedName name="Sparsity_Sec_DD_percentage">'[1]De Delegation'!$W$26</definedName>
    <definedName name="Sparsity_Sec_lump_sum" localSheetId="8">[1]Proforma!$G$38</definedName>
    <definedName name="Sparsity_Sec_lump_sum" localSheetId="7">[3]Proforma!$G$44</definedName>
    <definedName name="Sparsity_Sec_lump_sum" localSheetId="9">[4]Proforma!$G$44</definedName>
    <definedName name="Sparsity_Sec_lump_sum">[1]Proforma!$G$38</definedName>
    <definedName name="Sparsity_Total" localSheetId="8">'[1]New ISB'!$AD$5</definedName>
    <definedName name="Sparsity_Total" localSheetId="7">'[3]New ISB'!$AI$5</definedName>
    <definedName name="Sparsity_Total" localSheetId="9">'[4]New ISB'!$AI$5</definedName>
    <definedName name="Sparsity_Total">'[1]New ISB'!$AD$5</definedName>
    <definedName name="Split_Sites_Total" localSheetId="8">'[1]New ISB'!$AF$5</definedName>
    <definedName name="Split_Sites_Total" localSheetId="7">'[3]New ISB'!$AK$5</definedName>
    <definedName name="Split_Sites_Total" localSheetId="9">'[4]New ISB'!$AK$5</definedName>
    <definedName name="Split_Sites_Total">'[1]New ISB'!$AF$5</definedName>
    <definedName name="Tapered_all_lump_sum" localSheetId="8">[1]Proforma!$K$43</definedName>
    <definedName name="Tapered_all_lump_sum" localSheetId="7">[3]Proforma!$K$49</definedName>
    <definedName name="Tapered_all_lump_sum" localSheetId="9">[4]Proforma!$K$49</definedName>
    <definedName name="Tapered_all_lump_sum">[1]Proforma!$K$43</definedName>
    <definedName name="Tapered_mid_lump_sum" localSheetId="8">[1]Proforma!$K$42</definedName>
    <definedName name="Tapered_mid_lump_sum" localSheetId="7">[3]Proforma!$K$48</definedName>
    <definedName name="Tapered_mid_lump_sum" localSheetId="9">[4]Proforma!$K$48</definedName>
    <definedName name="Tapered_mid_lump_sum">[1]Proforma!$K$42</definedName>
    <definedName name="Tapered_primary_lump_sum" localSheetId="8">[1]Proforma!$K$40</definedName>
    <definedName name="Tapered_primary_lump_sum" localSheetId="7">[3]Proforma!$K$46</definedName>
    <definedName name="Tapered_primary_lump_sum" localSheetId="9">[4]Proforma!$K$46</definedName>
    <definedName name="Tapered_primary_lump_sum">[1]Proforma!$K$40</definedName>
    <definedName name="Tapered_secondary_lump_sum" localSheetId="8">[1]Proforma!$K$41</definedName>
    <definedName name="Tapered_secondary_lump_sum" localSheetId="7">[3]Proforma!$K$47</definedName>
    <definedName name="Tapered_secondary_lump_sum" localSheetId="9">[4]Proforma!$K$47</definedName>
    <definedName name="Tapered_secondary_lump_sum">[1]Proforma!$K$41</definedName>
    <definedName name="Total" localSheetId="11">#REF!</definedName>
    <definedName name="Total">#REF!</definedName>
    <definedName name="Total_Notional_SEN" localSheetId="8">'[1]New ISB'!$AS$5</definedName>
    <definedName name="Total_Notional_SEN" localSheetId="7">'[3]New ISB'!$AX$5</definedName>
    <definedName name="Total_Notional_SEN" localSheetId="9">'[4]New ISB'!$AX$5</definedName>
    <definedName name="Total_Notional_SEN">'[1]New ISB'!$AS$5</definedName>
    <definedName name="Total_Primary_funding" localSheetId="8">'[1]New ISB'!$AU$5</definedName>
    <definedName name="Total_Primary_funding" localSheetId="7">'[3]New ISB'!$BF$5</definedName>
    <definedName name="Total_Primary_funding" localSheetId="9">'[4]New ISB'!$BF$5</definedName>
    <definedName name="Total_Primary_funding">'[1]New ISB'!$AU$5</definedName>
    <definedName name="Total_Secondary_Funding" localSheetId="8">'[1]New ISB'!$AV$5</definedName>
    <definedName name="Total_Secondary_Funding" localSheetId="7">'[3]New ISB'!$BG$5</definedName>
    <definedName name="Total_Secondary_Funding" localSheetId="9">'[4]New ISB'!$BG$5</definedName>
    <definedName name="Total_Secondary_Funding">'[1]New ISB'!$AV$5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8" i="64" l="1"/>
  <c r="I49" i="64"/>
  <c r="I50" i="64"/>
  <c r="I51" i="64"/>
  <c r="I52" i="64"/>
  <c r="I53" i="64"/>
  <c r="I54" i="64"/>
  <c r="I55" i="64"/>
  <c r="I56" i="64"/>
  <c r="I57" i="64"/>
  <c r="I58" i="64"/>
  <c r="I59" i="64"/>
  <c r="I60" i="64"/>
  <c r="I61" i="64"/>
  <c r="I62" i="64"/>
  <c r="I63" i="64"/>
  <c r="I64" i="64"/>
  <c r="I65" i="64"/>
  <c r="I66" i="64"/>
  <c r="I67" i="64"/>
  <c r="I68" i="64"/>
  <c r="I69" i="64"/>
  <c r="I70" i="64"/>
  <c r="I71" i="64"/>
  <c r="I72" i="64"/>
  <c r="I73" i="64"/>
  <c r="I74" i="64"/>
  <c r="I75" i="64"/>
  <c r="I76" i="64"/>
  <c r="I77" i="64"/>
  <c r="I78" i="64"/>
  <c r="I79" i="64"/>
  <c r="I80" i="64"/>
  <c r="I81" i="64"/>
  <c r="I82" i="64"/>
  <c r="I83" i="64"/>
  <c r="I84" i="64"/>
  <c r="I85" i="64"/>
  <c r="I86" i="64"/>
  <c r="I87" i="64"/>
  <c r="I88" i="64"/>
  <c r="I89" i="64"/>
  <c r="I90" i="64"/>
  <c r="I91" i="64"/>
  <c r="I92" i="64"/>
  <c r="I93" i="64"/>
  <c r="I94" i="64"/>
  <c r="I95" i="64"/>
  <c r="I96" i="64"/>
  <c r="I97" i="64"/>
  <c r="I98" i="64"/>
  <c r="I99" i="64"/>
  <c r="I100" i="64"/>
  <c r="I101" i="64"/>
  <c r="I102" i="64"/>
  <c r="I103" i="64"/>
  <c r="I104" i="64"/>
  <c r="I105" i="64"/>
  <c r="I106" i="64"/>
  <c r="I107" i="64"/>
  <c r="I108" i="64"/>
  <c r="I47" i="64"/>
  <c r="D12" i="64"/>
  <c r="E11" i="64"/>
  <c r="D20" i="64" l="1"/>
  <c r="D21" i="64"/>
  <c r="D14" i="64"/>
  <c r="D13" i="64"/>
  <c r="D7" i="64"/>
  <c r="E32" i="64" s="1"/>
  <c r="D6" i="64"/>
  <c r="H6" i="64" s="1"/>
  <c r="C22" i="70"/>
  <c r="C21" i="70"/>
  <c r="C23" i="70" s="1"/>
  <c r="L20" i="70"/>
  <c r="D18" i="70"/>
  <c r="K16" i="70"/>
  <c r="D16" i="70"/>
  <c r="Q15" i="70"/>
  <c r="J15" i="70"/>
  <c r="I15" i="70"/>
  <c r="H15" i="70"/>
  <c r="F15" i="70"/>
  <c r="G15" i="70" s="1"/>
  <c r="L15" i="70" s="1"/>
  <c r="E15" i="70"/>
  <c r="Q14" i="70"/>
  <c r="I14" i="70"/>
  <c r="O14" i="70" s="1"/>
  <c r="F14" i="70"/>
  <c r="E14" i="70"/>
  <c r="J14" i="70" s="1"/>
  <c r="Q13" i="70"/>
  <c r="O13" i="70"/>
  <c r="I13" i="70"/>
  <c r="H13" i="70"/>
  <c r="G13" i="70"/>
  <c r="F13" i="70"/>
  <c r="E13" i="70"/>
  <c r="J13" i="70" s="1"/>
  <c r="Q12" i="70"/>
  <c r="O12" i="70"/>
  <c r="L12" i="70"/>
  <c r="J12" i="70"/>
  <c r="I12" i="70"/>
  <c r="H12" i="70"/>
  <c r="G12" i="70"/>
  <c r="F12" i="70"/>
  <c r="E12" i="70"/>
  <c r="Q11" i="70"/>
  <c r="J11" i="70"/>
  <c r="I11" i="70"/>
  <c r="F11" i="70"/>
  <c r="O11" i="70" s="1"/>
  <c r="E11" i="70"/>
  <c r="H11" i="70" s="1"/>
  <c r="Q10" i="70"/>
  <c r="I10" i="70"/>
  <c r="E10" i="70"/>
  <c r="H10" i="70" s="1"/>
  <c r="Q9" i="70"/>
  <c r="O9" i="70"/>
  <c r="I9" i="70"/>
  <c r="H9" i="70"/>
  <c r="F9" i="70"/>
  <c r="E9" i="70"/>
  <c r="J9" i="70" s="1"/>
  <c r="Q8" i="70"/>
  <c r="I8" i="70"/>
  <c r="H8" i="70"/>
  <c r="G8" i="70"/>
  <c r="L8" i="70" s="1"/>
  <c r="F8" i="70"/>
  <c r="O8" i="70" s="1"/>
  <c r="E8" i="70"/>
  <c r="J8" i="70" s="1"/>
  <c r="Q7" i="70"/>
  <c r="J7" i="70"/>
  <c r="I7" i="70"/>
  <c r="H7" i="70"/>
  <c r="F7" i="70"/>
  <c r="O7" i="70" s="1"/>
  <c r="E7" i="70"/>
  <c r="G7" i="70" s="1"/>
  <c r="L7" i="70" s="1"/>
  <c r="Q6" i="70"/>
  <c r="O6" i="70"/>
  <c r="I6" i="70"/>
  <c r="F6" i="70"/>
  <c r="E6" i="70"/>
  <c r="J6" i="70" s="1"/>
  <c r="C6" i="70"/>
  <c r="C16" i="70" s="1"/>
  <c r="Q5" i="70"/>
  <c r="I5" i="70"/>
  <c r="O5" i="70" s="1"/>
  <c r="H5" i="70"/>
  <c r="F5" i="70"/>
  <c r="F10" i="70" s="1"/>
  <c r="O10" i="70" s="1"/>
  <c r="E5" i="70"/>
  <c r="G5" i="70" s="1"/>
  <c r="Q4" i="70"/>
  <c r="Q16" i="70" s="1"/>
  <c r="O4" i="70"/>
  <c r="I4" i="70"/>
  <c r="H4" i="70"/>
  <c r="F4" i="70"/>
  <c r="E4" i="70"/>
  <c r="J4" i="70" s="1"/>
  <c r="I3" i="70"/>
  <c r="E14" i="64" l="1"/>
  <c r="E22" i="64"/>
  <c r="H7" i="64"/>
  <c r="D8" i="64"/>
  <c r="R8" i="70"/>
  <c r="S8" i="70"/>
  <c r="H16" i="70"/>
  <c r="O16" i="70"/>
  <c r="L13" i="70"/>
  <c r="R15" i="70"/>
  <c r="R7" i="70"/>
  <c r="S7" i="70"/>
  <c r="J10" i="70"/>
  <c r="G11" i="70"/>
  <c r="L11" i="70" s="1"/>
  <c r="G6" i="70"/>
  <c r="L6" i="70" s="1"/>
  <c r="G14" i="70"/>
  <c r="O15" i="70"/>
  <c r="S15" i="70" s="1"/>
  <c r="E16" i="70"/>
  <c r="J5" i="70"/>
  <c r="J16" i="70" s="1"/>
  <c r="G4" i="70"/>
  <c r="H6" i="70"/>
  <c r="G9" i="70"/>
  <c r="L9" i="70" s="1"/>
  <c r="R12" i="70"/>
  <c r="S12" i="70" s="1"/>
  <c r="H14" i="70"/>
  <c r="G10" i="70"/>
  <c r="L10" i="70" s="1"/>
  <c r="L4" i="70" l="1"/>
  <c r="G16" i="70"/>
  <c r="L14" i="70"/>
  <c r="S6" i="70"/>
  <c r="R6" i="70"/>
  <c r="R13" i="70"/>
  <c r="S13" i="70" s="1"/>
  <c r="R10" i="70"/>
  <c r="S10" i="70" s="1"/>
  <c r="R9" i="70"/>
  <c r="S9" i="70" s="1"/>
  <c r="L5" i="70"/>
  <c r="R11" i="70"/>
  <c r="S11" i="70"/>
  <c r="L16" i="70" l="1"/>
  <c r="R4" i="70"/>
  <c r="R16" i="70" s="1"/>
  <c r="R5" i="70"/>
  <c r="S5" i="70" s="1"/>
  <c r="S14" i="70"/>
  <c r="R14" i="70"/>
  <c r="S4" i="70" l="1"/>
  <c r="L22" i="70"/>
  <c r="L18" i="70"/>
  <c r="E19" i="64" l="1"/>
  <c r="G19" i="64" l="1"/>
  <c r="E23" i="64"/>
  <c r="G23" i="64" l="1"/>
  <c r="G11" i="64" l="1"/>
  <c r="E15" i="64"/>
  <c r="G15" i="64" s="1"/>
  <c r="E30" i="64" l="1"/>
  <c r="H23" i="64"/>
  <c r="E26" i="64" s="1"/>
  <c r="G26" i="64"/>
  <c r="E27" i="64" l="1"/>
  <c r="E31" i="64" l="1"/>
  <c r="G27" i="64"/>
  <c r="G28" i="64" s="1"/>
  <c r="E28" i="64"/>
  <c r="E33" i="64" l="1"/>
  <c r="G30" i="64"/>
  <c r="E37" i="64" l="1"/>
  <c r="E34" i="64"/>
  <c r="G37" i="64" l="1"/>
  <c r="G40" i="64" s="1"/>
  <c r="H40" i="64" s="1"/>
  <c r="E40" i="64"/>
  <c r="F40" i="64" s="1"/>
  <c r="G22" i="39" l="1"/>
  <c r="K64" i="39"/>
  <c r="G36" i="39"/>
  <c r="G34" i="39"/>
  <c r="G32" i="39"/>
  <c r="G26" i="39"/>
  <c r="G27" i="39"/>
  <c r="G28" i="39"/>
  <c r="G29" i="39"/>
  <c r="G30" i="39"/>
  <c r="G25" i="39"/>
  <c r="G23" i="39"/>
  <c r="G47" i="39" l="1"/>
  <c r="E36" i="39"/>
  <c r="E34" i="39"/>
  <c r="E32" i="39"/>
  <c r="E30" i="39"/>
  <c r="E29" i="39"/>
  <c r="E28" i="39"/>
  <c r="E27" i="39"/>
  <c r="E26" i="39"/>
  <c r="E25" i="39"/>
  <c r="E23" i="39"/>
  <c r="E22" i="39"/>
  <c r="G17" i="39"/>
  <c r="G16" i="39"/>
  <c r="E17" i="39"/>
  <c r="E16" i="39"/>
  <c r="H177" i="72"/>
  <c r="H176" i="72"/>
  <c r="H175" i="72"/>
  <c r="H143" i="72"/>
  <c r="H137" i="72"/>
  <c r="H169" i="72"/>
  <c r="H168" i="72"/>
  <c r="H167" i="72"/>
  <c r="H166" i="72"/>
  <c r="H165" i="72"/>
  <c r="H164" i="72"/>
  <c r="H163" i="72"/>
  <c r="H162" i="72"/>
  <c r="H161" i="72"/>
  <c r="H160" i="72"/>
  <c r="H159" i="72"/>
  <c r="H158" i="72"/>
  <c r="H157" i="72"/>
  <c r="H156" i="72"/>
  <c r="H155" i="72"/>
  <c r="H154" i="72"/>
  <c r="H153" i="72"/>
  <c r="H152" i="72"/>
  <c r="H151" i="72"/>
  <c r="H150" i="72"/>
  <c r="H149" i="72"/>
  <c r="H148" i="72"/>
  <c r="H147" i="72"/>
  <c r="H146" i="72"/>
  <c r="H145" i="72"/>
  <c r="H144" i="72"/>
  <c r="H136" i="72"/>
  <c r="H135" i="72"/>
  <c r="H134" i="72"/>
  <c r="H133" i="72"/>
  <c r="H132" i="72"/>
  <c r="H131" i="72"/>
  <c r="H130" i="72"/>
  <c r="H129" i="72"/>
  <c r="H128" i="72"/>
  <c r="H127" i="72"/>
  <c r="H126" i="72"/>
  <c r="H125" i="72"/>
  <c r="H124" i="72"/>
  <c r="H123" i="72"/>
  <c r="H122" i="72"/>
  <c r="H121" i="72"/>
  <c r="H120" i="72"/>
  <c r="H119" i="72"/>
  <c r="H118" i="72"/>
  <c r="H117" i="72"/>
  <c r="H116" i="72"/>
  <c r="H115" i="72"/>
  <c r="H114" i="72"/>
  <c r="H113" i="72"/>
  <c r="H112" i="72"/>
  <c r="H111" i="72"/>
  <c r="H110" i="72"/>
  <c r="H109" i="72"/>
  <c r="H108" i="72"/>
  <c r="H107" i="72"/>
  <c r="H106" i="72"/>
  <c r="H105" i="72"/>
  <c r="H104" i="72"/>
  <c r="H103" i="72"/>
  <c r="H102" i="72"/>
  <c r="H101" i="72"/>
  <c r="H100" i="72"/>
  <c r="H99" i="72"/>
  <c r="H98" i="72"/>
  <c r="H97" i="72"/>
  <c r="H96" i="72"/>
  <c r="H95" i="72"/>
  <c r="H94" i="72"/>
  <c r="H93" i="72"/>
  <c r="H92" i="72"/>
  <c r="H91" i="72"/>
  <c r="H90" i="72"/>
  <c r="H89" i="72"/>
  <c r="H88" i="72"/>
  <c r="H87" i="72"/>
  <c r="H86" i="72"/>
  <c r="H85" i="72"/>
  <c r="H84" i="72"/>
  <c r="H83" i="72"/>
  <c r="H82" i="72"/>
  <c r="H81" i="72"/>
  <c r="H80" i="72"/>
  <c r="H79" i="72"/>
  <c r="H78" i="72"/>
  <c r="H77" i="72"/>
  <c r="H76" i="72"/>
  <c r="H75" i="72"/>
  <c r="H74" i="72"/>
  <c r="H73" i="72"/>
  <c r="H72" i="72"/>
  <c r="H71" i="72"/>
  <c r="H70" i="72"/>
  <c r="H69" i="72"/>
  <c r="H68" i="72"/>
  <c r="H67" i="72"/>
  <c r="H66" i="72"/>
  <c r="H65" i="72"/>
  <c r="H64" i="72"/>
  <c r="H63" i="72"/>
  <c r="H62" i="72"/>
  <c r="H61" i="72"/>
  <c r="H60" i="72"/>
  <c r="H59" i="72"/>
  <c r="H58" i="72"/>
  <c r="H57" i="72"/>
  <c r="H56" i="72"/>
  <c r="H55" i="72"/>
  <c r="H54" i="72"/>
  <c r="H53" i="72"/>
  <c r="H52" i="72"/>
  <c r="H51" i="72"/>
  <c r="H50" i="72"/>
  <c r="H49" i="72"/>
  <c r="H48" i="72"/>
  <c r="H47" i="72"/>
  <c r="H46" i="72"/>
  <c r="H45" i="72"/>
  <c r="H44" i="72"/>
  <c r="H43" i="72"/>
  <c r="H42" i="72"/>
  <c r="H41" i="72"/>
  <c r="H40" i="72"/>
  <c r="H39" i="72"/>
  <c r="H38" i="72"/>
  <c r="H37" i="72"/>
  <c r="H36" i="72"/>
  <c r="H35" i="72"/>
  <c r="H34" i="72"/>
  <c r="H33" i="72"/>
  <c r="H32" i="72"/>
  <c r="H31" i="72"/>
  <c r="H30" i="72"/>
  <c r="H29" i="72"/>
  <c r="H28" i="72"/>
  <c r="H27" i="72"/>
  <c r="H26" i="72"/>
  <c r="H25" i="72"/>
  <c r="H24" i="72"/>
  <c r="H23" i="72"/>
  <c r="H22" i="72"/>
  <c r="H21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8" i="72"/>
  <c r="H7" i="72"/>
  <c r="H6" i="72"/>
  <c r="H5" i="72"/>
  <c r="E83" i="37"/>
  <c r="F83" i="37"/>
  <c r="G83" i="37"/>
  <c r="E84" i="37"/>
  <c r="F84" i="37"/>
  <c r="G84" i="37"/>
  <c r="E85" i="37"/>
  <c r="F85" i="37"/>
  <c r="G85" i="37"/>
  <c r="E86" i="37"/>
  <c r="F86" i="37"/>
  <c r="G86" i="37"/>
  <c r="E87" i="37"/>
  <c r="F87" i="37"/>
  <c r="G87" i="37"/>
  <c r="E88" i="37"/>
  <c r="F88" i="37"/>
  <c r="G88" i="37"/>
  <c r="E89" i="37"/>
  <c r="F89" i="37"/>
  <c r="G89" i="37"/>
  <c r="E90" i="37"/>
  <c r="F90" i="37"/>
  <c r="G90" i="37"/>
  <c r="E91" i="37"/>
  <c r="F91" i="37"/>
  <c r="G91" i="37"/>
  <c r="E92" i="37"/>
  <c r="F92" i="37"/>
  <c r="G92" i="37"/>
  <c r="E93" i="37"/>
  <c r="F93" i="37"/>
  <c r="G93" i="37"/>
  <c r="E94" i="37"/>
  <c r="F94" i="37"/>
  <c r="G94" i="37"/>
  <c r="E95" i="37"/>
  <c r="F95" i="37"/>
  <c r="G95" i="37"/>
  <c r="E96" i="37"/>
  <c r="F96" i="37"/>
  <c r="G96" i="37"/>
  <c r="E97" i="37"/>
  <c r="F97" i="37"/>
  <c r="G97" i="37"/>
  <c r="E98" i="37"/>
  <c r="F98" i="37"/>
  <c r="G98" i="37"/>
  <c r="E99" i="37"/>
  <c r="F99" i="37"/>
  <c r="G99" i="37"/>
  <c r="E100" i="37"/>
  <c r="F100" i="37"/>
  <c r="G100" i="37"/>
  <c r="E101" i="37"/>
  <c r="F101" i="37"/>
  <c r="G101" i="37"/>
  <c r="E102" i="37"/>
  <c r="F102" i="37"/>
  <c r="G102" i="37"/>
  <c r="E103" i="37"/>
  <c r="F103" i="37"/>
  <c r="G103" i="37"/>
  <c r="E104" i="37"/>
  <c r="F104" i="37"/>
  <c r="G104" i="37"/>
  <c r="E105" i="37"/>
  <c r="F105" i="37"/>
  <c r="G105" i="37"/>
  <c r="E106" i="37"/>
  <c r="F106" i="37"/>
  <c r="G106" i="37"/>
  <c r="E107" i="37"/>
  <c r="F107" i="37"/>
  <c r="G107" i="37"/>
  <c r="E108" i="37"/>
  <c r="F108" i="37"/>
  <c r="G108" i="37"/>
  <c r="E109" i="37"/>
  <c r="F109" i="37"/>
  <c r="G109" i="37"/>
  <c r="E110" i="37"/>
  <c r="F110" i="37"/>
  <c r="G110" i="37"/>
  <c r="E111" i="37"/>
  <c r="F111" i="37"/>
  <c r="G111" i="37"/>
  <c r="E112" i="37"/>
  <c r="F112" i="37"/>
  <c r="G112" i="37"/>
  <c r="E113" i="37"/>
  <c r="F113" i="37"/>
  <c r="G113" i="37"/>
  <c r="E114" i="37"/>
  <c r="F114" i="37"/>
  <c r="G114" i="37"/>
  <c r="E115" i="37"/>
  <c r="F115" i="37"/>
  <c r="G115" i="37"/>
  <c r="E116" i="37"/>
  <c r="F116" i="37"/>
  <c r="G116" i="37"/>
  <c r="E117" i="37"/>
  <c r="F117" i="37"/>
  <c r="G117" i="37"/>
  <c r="E118" i="37"/>
  <c r="F118" i="37"/>
  <c r="G118" i="37"/>
  <c r="E119" i="37"/>
  <c r="F119" i="37"/>
  <c r="G119" i="37"/>
  <c r="E120" i="37"/>
  <c r="F120" i="37"/>
  <c r="G120" i="37"/>
  <c r="E121" i="37"/>
  <c r="F121" i="37"/>
  <c r="G121" i="37"/>
  <c r="E122" i="37"/>
  <c r="F122" i="37"/>
  <c r="G122" i="37"/>
  <c r="E123" i="37"/>
  <c r="F123" i="37"/>
  <c r="G123" i="37"/>
  <c r="E124" i="37"/>
  <c r="F124" i="37"/>
  <c r="G124" i="37"/>
  <c r="E125" i="37"/>
  <c r="F125" i="37"/>
  <c r="G125" i="37"/>
  <c r="E126" i="37"/>
  <c r="F126" i="37"/>
  <c r="G126" i="37"/>
  <c r="E127" i="37"/>
  <c r="F127" i="37"/>
  <c r="G127" i="37"/>
  <c r="E128" i="37"/>
  <c r="F128" i="37"/>
  <c r="G128" i="37"/>
  <c r="E129" i="37"/>
  <c r="F129" i="37"/>
  <c r="G129" i="37"/>
  <c r="E130" i="37"/>
  <c r="F130" i="37"/>
  <c r="G130" i="37"/>
  <c r="E131" i="37"/>
  <c r="F131" i="37"/>
  <c r="G131" i="37"/>
  <c r="E132" i="37"/>
  <c r="F132" i="37"/>
  <c r="G132" i="37"/>
  <c r="E133" i="37"/>
  <c r="F133" i="37"/>
  <c r="G133" i="37"/>
  <c r="E134" i="37"/>
  <c r="F134" i="37"/>
  <c r="G134" i="37"/>
  <c r="E135" i="37"/>
  <c r="F135" i="37"/>
  <c r="G135" i="37"/>
  <c r="E136" i="37"/>
  <c r="F136" i="37"/>
  <c r="G136" i="37"/>
  <c r="E137" i="37"/>
  <c r="F137" i="37"/>
  <c r="G137" i="37"/>
  <c r="E138" i="37"/>
  <c r="F138" i="37"/>
  <c r="G138" i="37"/>
  <c r="E139" i="37"/>
  <c r="F139" i="37"/>
  <c r="G139" i="37"/>
  <c r="E140" i="37"/>
  <c r="F140" i="37"/>
  <c r="G140" i="37"/>
  <c r="E141" i="37"/>
  <c r="F141" i="37"/>
  <c r="G141" i="37"/>
  <c r="E142" i="37"/>
  <c r="F142" i="37"/>
  <c r="G142" i="37"/>
  <c r="G82" i="37"/>
  <c r="F82" i="37"/>
  <c r="E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82" i="37"/>
  <c r="K64" i="37"/>
  <c r="G36" i="37" l="1"/>
  <c r="G34" i="37"/>
  <c r="G32" i="37"/>
  <c r="G23" i="37"/>
  <c r="G22" i="37"/>
  <c r="E36" i="37"/>
  <c r="E34" i="37"/>
  <c r="E32" i="37"/>
  <c r="T22" i="74"/>
  <c r="S22" i="74"/>
  <c r="R22" i="74"/>
  <c r="Q22" i="74"/>
  <c r="AJ20" i="74"/>
  <c r="F20" i="74"/>
  <c r="AL19" i="74"/>
  <c r="Y19" i="74"/>
  <c r="AC19" i="74" s="1"/>
  <c r="X19" i="74"/>
  <c r="AB19" i="74" s="1"/>
  <c r="W19" i="74"/>
  <c r="AA19" i="74" s="1"/>
  <c r="V19" i="74"/>
  <c r="Z19" i="74" s="1"/>
  <c r="K19" i="74"/>
  <c r="C19" i="74"/>
  <c r="A19" i="74"/>
  <c r="R19" i="74" s="1"/>
  <c r="AL18" i="74"/>
  <c r="Z18" i="74"/>
  <c r="Y18" i="74"/>
  <c r="AC18" i="74" s="1"/>
  <c r="X18" i="74"/>
  <c r="AB18" i="74" s="1"/>
  <c r="W18" i="74"/>
  <c r="AA18" i="74" s="1"/>
  <c r="V18" i="74"/>
  <c r="R18" i="74"/>
  <c r="Q18" i="74"/>
  <c r="S18" i="74" s="1"/>
  <c r="K18" i="74"/>
  <c r="E18" i="74"/>
  <c r="E20" i="74" s="1"/>
  <c r="D18" i="74"/>
  <c r="AO17" i="74"/>
  <c r="Y17" i="74"/>
  <c r="AC17" i="74" s="1"/>
  <c r="X17" i="74"/>
  <c r="AB17" i="74" s="1"/>
  <c r="W17" i="74"/>
  <c r="AA17" i="74" s="1"/>
  <c r="V17" i="74"/>
  <c r="Z17" i="74" s="1"/>
  <c r="R17" i="74"/>
  <c r="S17" i="74" s="1"/>
  <c r="Q17" i="74"/>
  <c r="K17" i="74"/>
  <c r="AL16" i="74"/>
  <c r="Z16" i="74"/>
  <c r="Y16" i="74"/>
  <c r="AC16" i="74" s="1"/>
  <c r="X16" i="74"/>
  <c r="AB16" i="74" s="1"/>
  <c r="W16" i="74"/>
  <c r="AA16" i="74" s="1"/>
  <c r="V16" i="74"/>
  <c r="R16" i="74"/>
  <c r="Q16" i="74"/>
  <c r="K16" i="74"/>
  <c r="D16" i="74"/>
  <c r="AL15" i="74"/>
  <c r="Y15" i="74"/>
  <c r="AC15" i="74" s="1"/>
  <c r="X15" i="74"/>
  <c r="AB15" i="74" s="1"/>
  <c r="W15" i="74"/>
  <c r="AA15" i="74" s="1"/>
  <c r="V15" i="74"/>
  <c r="Z15" i="74" s="1"/>
  <c r="R15" i="74"/>
  <c r="Q15" i="74"/>
  <c r="K15" i="74"/>
  <c r="D15" i="74"/>
  <c r="AO14" i="74"/>
  <c r="AC14" i="74"/>
  <c r="Y14" i="74"/>
  <c r="X14" i="74"/>
  <c r="AB14" i="74" s="1"/>
  <c r="W14" i="74"/>
  <c r="AA14" i="74" s="1"/>
  <c r="V14" i="74"/>
  <c r="Z14" i="74" s="1"/>
  <c r="AD14" i="74" s="1"/>
  <c r="R14" i="74"/>
  <c r="Q14" i="74"/>
  <c r="S14" i="74" s="1"/>
  <c r="K14" i="74"/>
  <c r="Y13" i="74"/>
  <c r="AC13" i="74" s="1"/>
  <c r="X13" i="74"/>
  <c r="AB13" i="74" s="1"/>
  <c r="W13" i="74"/>
  <c r="AA13" i="74" s="1"/>
  <c r="V13" i="74"/>
  <c r="Z13" i="74" s="1"/>
  <c r="R13" i="74"/>
  <c r="Q13" i="74"/>
  <c r="K13" i="74"/>
  <c r="AL12" i="74"/>
  <c r="AB12" i="74"/>
  <c r="AA12" i="74"/>
  <c r="Y12" i="74"/>
  <c r="AC12" i="74" s="1"/>
  <c r="X12" i="74"/>
  <c r="W12" i="74"/>
  <c r="V12" i="74"/>
  <c r="Z12" i="74" s="1"/>
  <c r="R12" i="74"/>
  <c r="S12" i="74" s="1"/>
  <c r="Q12" i="74"/>
  <c r="K12" i="74"/>
  <c r="D12" i="74"/>
  <c r="AL11" i="74"/>
  <c r="Y11" i="74"/>
  <c r="AC11" i="74" s="1"/>
  <c r="X11" i="74"/>
  <c r="AB11" i="74" s="1"/>
  <c r="W11" i="74"/>
  <c r="AA11" i="74" s="1"/>
  <c r="V11" i="74"/>
  <c r="Z11" i="74" s="1"/>
  <c r="K11" i="74"/>
  <c r="C11" i="74"/>
  <c r="A11" i="74"/>
  <c r="R11" i="74" s="1"/>
  <c r="AL10" i="74"/>
  <c r="Z10" i="74"/>
  <c r="Y10" i="74"/>
  <c r="AC10" i="74" s="1"/>
  <c r="X10" i="74"/>
  <c r="AB10" i="74" s="1"/>
  <c r="W10" i="74"/>
  <c r="AA10" i="74" s="1"/>
  <c r="V10" i="74"/>
  <c r="R10" i="74"/>
  <c r="Q10" i="74"/>
  <c r="S10" i="74" s="1"/>
  <c r="K10" i="74"/>
  <c r="D10" i="74"/>
  <c r="AL9" i="74"/>
  <c r="AC9" i="74"/>
  <c r="Y9" i="74"/>
  <c r="X9" i="74"/>
  <c r="AB9" i="74" s="1"/>
  <c r="W9" i="74"/>
  <c r="AA9" i="74" s="1"/>
  <c r="V9" i="74"/>
  <c r="Z9" i="74" s="1"/>
  <c r="R9" i="74"/>
  <c r="Q9" i="74"/>
  <c r="S9" i="74" s="1"/>
  <c r="K9" i="74"/>
  <c r="AL8" i="74"/>
  <c r="AC8" i="74"/>
  <c r="Y8" i="74"/>
  <c r="X8" i="74"/>
  <c r="AB8" i="74" s="1"/>
  <c r="W8" i="74"/>
  <c r="AA8" i="74" s="1"/>
  <c r="V8" i="74"/>
  <c r="Z8" i="74" s="1"/>
  <c r="R8" i="74"/>
  <c r="Q8" i="74"/>
  <c r="K8" i="74"/>
  <c r="AL7" i="74"/>
  <c r="AB7" i="74"/>
  <c r="Z7" i="74"/>
  <c r="Y7" i="74"/>
  <c r="AC7" i="74" s="1"/>
  <c r="X7" i="74"/>
  <c r="W7" i="74"/>
  <c r="AA7" i="74" s="1"/>
  <c r="V7" i="74"/>
  <c r="R7" i="74"/>
  <c r="Q7" i="74"/>
  <c r="K7" i="74"/>
  <c r="D7" i="74"/>
  <c r="AL6" i="74"/>
  <c r="Y6" i="74"/>
  <c r="AC6" i="74" s="1"/>
  <c r="X6" i="74"/>
  <c r="AB6" i="74" s="1"/>
  <c r="W6" i="74"/>
  <c r="AA6" i="74" s="1"/>
  <c r="V6" i="74"/>
  <c r="Z6" i="74" s="1"/>
  <c r="K6" i="74"/>
  <c r="A6" i="74"/>
  <c r="R6" i="74" s="1"/>
  <c r="AO5" i="74"/>
  <c r="Y5" i="74"/>
  <c r="AC5" i="74" s="1"/>
  <c r="X5" i="74"/>
  <c r="AB5" i="74" s="1"/>
  <c r="W5" i="74"/>
  <c r="AA5" i="74" s="1"/>
  <c r="V5" i="74"/>
  <c r="Z5" i="74" s="1"/>
  <c r="S5" i="74"/>
  <c r="R5" i="74"/>
  <c r="Q5" i="74"/>
  <c r="K5" i="74"/>
  <c r="K24" i="74" s="1"/>
  <c r="AL4" i="74"/>
  <c r="AK4" i="74"/>
  <c r="Y4" i="74"/>
  <c r="X4" i="74"/>
  <c r="W4" i="74"/>
  <c r="W20" i="74" s="1"/>
  <c r="V4" i="74"/>
  <c r="Z4" i="74" s="1"/>
  <c r="R4" i="74"/>
  <c r="Q4" i="74"/>
  <c r="K4" i="74"/>
  <c r="K20" i="74" s="1"/>
  <c r="K25" i="74" s="1"/>
  <c r="D4" i="74"/>
  <c r="AD15" i="74" l="1"/>
  <c r="S7" i="74"/>
  <c r="AD9" i="74"/>
  <c r="AD10" i="74"/>
  <c r="AD18" i="74"/>
  <c r="S16" i="74"/>
  <c r="X20" i="74"/>
  <c r="Y20" i="74"/>
  <c r="AA4" i="74"/>
  <c r="AD6" i="74"/>
  <c r="D20" i="74"/>
  <c r="AB4" i="74"/>
  <c r="AD4" i="74" s="1"/>
  <c r="S8" i="74"/>
  <c r="AC4" i="74"/>
  <c r="S13" i="74"/>
  <c r="AM4" i="74"/>
  <c r="S15" i="74"/>
  <c r="AA20" i="74"/>
  <c r="R20" i="74"/>
  <c r="R24" i="74" s="1"/>
  <c r="AC20" i="74"/>
  <c r="AD8" i="74"/>
  <c r="AD11" i="74"/>
  <c r="AD12" i="74"/>
  <c r="AD16" i="74"/>
  <c r="AD5" i="74"/>
  <c r="AD7" i="74"/>
  <c r="AD13" i="74"/>
  <c r="AD17" i="74"/>
  <c r="AD19" i="74"/>
  <c r="Z20" i="74"/>
  <c r="V20" i="74"/>
  <c r="Q6" i="74"/>
  <c r="S6" i="74" s="1"/>
  <c r="Q19" i="74"/>
  <c r="S19" i="74" s="1"/>
  <c r="S4" i="74"/>
  <c r="Q11" i="74"/>
  <c r="S11" i="74" s="1"/>
  <c r="AB20" i="74" l="1"/>
  <c r="AD20" i="74" s="1"/>
  <c r="AD21" i="74" s="1"/>
  <c r="AD22" i="74" s="1"/>
  <c r="S20" i="74"/>
  <c r="S24" i="74" s="1"/>
  <c r="Q20" i="74"/>
  <c r="Q24" i="74" s="1"/>
  <c r="G47" i="37" l="1"/>
  <c r="G16" i="37"/>
  <c r="B5" i="69"/>
  <c r="B6" i="69"/>
  <c r="B7" i="69"/>
  <c r="B8" i="69"/>
  <c r="B9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4" i="69"/>
  <c r="K7" i="69"/>
  <c r="K8" i="69"/>
  <c r="K14" i="69"/>
  <c r="K15" i="69"/>
  <c r="K16" i="69"/>
  <c r="K22" i="69"/>
  <c r="I5" i="69"/>
  <c r="K5" i="69" s="1"/>
  <c r="J5" i="69"/>
  <c r="J23" i="69" s="1"/>
  <c r="I6" i="69"/>
  <c r="K6" i="69" s="1"/>
  <c r="J6" i="69"/>
  <c r="I7" i="69"/>
  <c r="J7" i="69"/>
  <c r="I8" i="69"/>
  <c r="J8" i="69"/>
  <c r="I9" i="69"/>
  <c r="K9" i="69" s="1"/>
  <c r="J9" i="69"/>
  <c r="I10" i="69"/>
  <c r="K10" i="69" s="1"/>
  <c r="J10" i="69"/>
  <c r="I11" i="69"/>
  <c r="K11" i="69" s="1"/>
  <c r="J11" i="69"/>
  <c r="I12" i="69"/>
  <c r="K12" i="69" s="1"/>
  <c r="J12" i="69"/>
  <c r="I13" i="69"/>
  <c r="K13" i="69" s="1"/>
  <c r="J13" i="69"/>
  <c r="I14" i="69"/>
  <c r="J14" i="69"/>
  <c r="I15" i="69"/>
  <c r="J15" i="69"/>
  <c r="I16" i="69"/>
  <c r="J16" i="69"/>
  <c r="I17" i="69"/>
  <c r="K17" i="69" s="1"/>
  <c r="J17" i="69"/>
  <c r="I18" i="69"/>
  <c r="K18" i="69" s="1"/>
  <c r="J18" i="69"/>
  <c r="I19" i="69"/>
  <c r="K19" i="69" s="1"/>
  <c r="J19" i="69"/>
  <c r="I20" i="69"/>
  <c r="K20" i="69" s="1"/>
  <c r="J20" i="69"/>
  <c r="I21" i="69"/>
  <c r="K21" i="69" s="1"/>
  <c r="J21" i="69"/>
  <c r="I22" i="69"/>
  <c r="J22" i="69"/>
  <c r="J4" i="69"/>
  <c r="I4" i="69"/>
  <c r="K4" i="69" s="1"/>
  <c r="K23" i="69" l="1"/>
  <c r="I23" i="69"/>
  <c r="Z47" i="71" l="1"/>
  <c r="W47" i="71"/>
  <c r="W31" i="71"/>
  <c r="W29" i="71"/>
  <c r="AH19" i="71"/>
  <c r="AG19" i="71"/>
  <c r="G19" i="71"/>
  <c r="T18" i="71"/>
  <c r="O18" i="71"/>
  <c r="P18" i="71" s="1"/>
  <c r="L18" i="71"/>
  <c r="Z18" i="71" s="1"/>
  <c r="J18" i="71"/>
  <c r="I18" i="71"/>
  <c r="D18" i="71"/>
  <c r="B18" i="71"/>
  <c r="F18" i="71" s="1"/>
  <c r="O17" i="71"/>
  <c r="N17" i="71" s="1"/>
  <c r="L17" i="71"/>
  <c r="Z17" i="71" s="1"/>
  <c r="J17" i="71"/>
  <c r="K17" i="71" s="1"/>
  <c r="I17" i="71"/>
  <c r="F17" i="71"/>
  <c r="E17" i="71"/>
  <c r="T17" i="71" s="1"/>
  <c r="T16" i="71"/>
  <c r="O16" i="71"/>
  <c r="L16" i="71"/>
  <c r="Z16" i="71" s="1"/>
  <c r="J16" i="71"/>
  <c r="F16" i="71"/>
  <c r="H16" i="71" s="1"/>
  <c r="I16" i="71" s="1"/>
  <c r="AK15" i="71"/>
  <c r="O15" i="71"/>
  <c r="P15" i="71" s="1"/>
  <c r="L15" i="71"/>
  <c r="Z15" i="71" s="1"/>
  <c r="J15" i="71"/>
  <c r="K15" i="71" s="1"/>
  <c r="I15" i="71"/>
  <c r="F15" i="71"/>
  <c r="AJ15" i="71" s="1"/>
  <c r="E15" i="71"/>
  <c r="U15" i="71" s="1"/>
  <c r="T14" i="71"/>
  <c r="O14" i="71"/>
  <c r="L14" i="71"/>
  <c r="Z14" i="71" s="1"/>
  <c r="J14" i="71"/>
  <c r="F14" i="71"/>
  <c r="H14" i="71" s="1"/>
  <c r="U13" i="71"/>
  <c r="T13" i="71"/>
  <c r="O13" i="71"/>
  <c r="P13" i="71" s="1"/>
  <c r="L13" i="71"/>
  <c r="J13" i="71"/>
  <c r="I13" i="71"/>
  <c r="F13" i="71"/>
  <c r="AK12" i="71"/>
  <c r="T12" i="71"/>
  <c r="O12" i="71"/>
  <c r="P12" i="71" s="1"/>
  <c r="R12" i="71" s="1"/>
  <c r="L12" i="71"/>
  <c r="Z12" i="71" s="1"/>
  <c r="J12" i="71"/>
  <c r="I12" i="71"/>
  <c r="K12" i="71" s="1"/>
  <c r="F12" i="71"/>
  <c r="AJ12" i="71" s="1"/>
  <c r="E12" i="71"/>
  <c r="U12" i="71" s="1"/>
  <c r="U11" i="71"/>
  <c r="T11" i="71"/>
  <c r="O11" i="71"/>
  <c r="P11" i="71" s="1"/>
  <c r="L11" i="71"/>
  <c r="J11" i="71"/>
  <c r="I11" i="71"/>
  <c r="K11" i="71" s="1"/>
  <c r="D11" i="71"/>
  <c r="B11" i="71"/>
  <c r="F11" i="71" s="1"/>
  <c r="AK10" i="71"/>
  <c r="O10" i="71"/>
  <c r="P10" i="71" s="1"/>
  <c r="L10" i="71"/>
  <c r="Z10" i="71" s="1"/>
  <c r="J10" i="71"/>
  <c r="I10" i="71"/>
  <c r="F10" i="71"/>
  <c r="AJ10" i="71" s="1"/>
  <c r="E10" i="71"/>
  <c r="T10" i="71" s="1"/>
  <c r="O9" i="71"/>
  <c r="L9" i="71"/>
  <c r="Z9" i="71" s="1"/>
  <c r="J9" i="71"/>
  <c r="F9" i="71"/>
  <c r="AJ9" i="71" s="1"/>
  <c r="E9" i="71"/>
  <c r="T9" i="71" s="1"/>
  <c r="O8" i="71"/>
  <c r="P8" i="71" s="1"/>
  <c r="L8" i="71"/>
  <c r="Z8" i="71" s="1"/>
  <c r="J8" i="71"/>
  <c r="F8" i="71"/>
  <c r="AJ8" i="71" s="1"/>
  <c r="E8" i="71"/>
  <c r="T8" i="71" s="1"/>
  <c r="AK7" i="71"/>
  <c r="O7" i="71"/>
  <c r="P7" i="71" s="1"/>
  <c r="L7" i="71"/>
  <c r="Z7" i="71" s="1"/>
  <c r="J7" i="71"/>
  <c r="I7" i="71"/>
  <c r="F7" i="71"/>
  <c r="AJ7" i="71" s="1"/>
  <c r="E7" i="71"/>
  <c r="T7" i="71" s="1"/>
  <c r="T6" i="71"/>
  <c r="O6" i="71"/>
  <c r="P6" i="71" s="1"/>
  <c r="R6" i="71" s="1"/>
  <c r="L6" i="71"/>
  <c r="J6" i="71"/>
  <c r="I6" i="71"/>
  <c r="B6" i="71"/>
  <c r="F6" i="71" s="1"/>
  <c r="U5" i="71"/>
  <c r="T5" i="71"/>
  <c r="T42" i="71" s="1"/>
  <c r="O5" i="71"/>
  <c r="P5" i="71" s="1"/>
  <c r="R5" i="71" s="1"/>
  <c r="L5" i="71"/>
  <c r="Z5" i="71" s="1"/>
  <c r="J5" i="71"/>
  <c r="K5" i="71" s="1"/>
  <c r="I5" i="71"/>
  <c r="F5" i="71"/>
  <c r="O4" i="71"/>
  <c r="L4" i="71"/>
  <c r="Z4" i="71" s="1"/>
  <c r="J4" i="71"/>
  <c r="F4" i="71"/>
  <c r="E4" i="71"/>
  <c r="M16" i="71" l="1"/>
  <c r="N11" i="71"/>
  <c r="M6" i="71"/>
  <c r="M11" i="71"/>
  <c r="P16" i="71"/>
  <c r="R16" i="71" s="1"/>
  <c r="S16" i="71" s="1"/>
  <c r="F21" i="71"/>
  <c r="F23" i="71" s="1"/>
  <c r="P17" i="71"/>
  <c r="R17" i="71" s="1"/>
  <c r="S17" i="71" s="1"/>
  <c r="M13" i="71"/>
  <c r="U17" i="71"/>
  <c r="E19" i="71"/>
  <c r="O19" i="71"/>
  <c r="F22" i="71"/>
  <c r="Z13" i="71"/>
  <c r="Q13" i="71" s="1"/>
  <c r="Z6" i="71"/>
  <c r="S6" i="71" s="1"/>
  <c r="M9" i="71"/>
  <c r="M12" i="71"/>
  <c r="M14" i="71"/>
  <c r="M17" i="71"/>
  <c r="R13" i="71"/>
  <c r="N16" i="71"/>
  <c r="U16" i="71"/>
  <c r="K16" i="71"/>
  <c r="R10" i="71"/>
  <c r="S10" i="71" s="1"/>
  <c r="Q10" i="71"/>
  <c r="Q7" i="71"/>
  <c r="R7" i="71"/>
  <c r="S7" i="71" s="1"/>
  <c r="I14" i="71"/>
  <c r="I21" i="71" s="1"/>
  <c r="H21" i="71"/>
  <c r="S5" i="71"/>
  <c r="Q8" i="71"/>
  <c r="S12" i="71"/>
  <c r="R15" i="71"/>
  <c r="S15" i="71" s="1"/>
  <c r="Q15" i="71"/>
  <c r="R18" i="71"/>
  <c r="S18" i="71" s="1"/>
  <c r="Q18" i="71"/>
  <c r="K10" i="71"/>
  <c r="T15" i="71"/>
  <c r="T45" i="71" s="1"/>
  <c r="F19" i="71"/>
  <c r="N5" i="71"/>
  <c r="K6" i="71"/>
  <c r="M8" i="71"/>
  <c r="H9" i="71"/>
  <c r="P9" i="71"/>
  <c r="N12" i="71"/>
  <c r="K13" i="71"/>
  <c r="P14" i="71"/>
  <c r="M15" i="71"/>
  <c r="Q16" i="71"/>
  <c r="K7" i="71"/>
  <c r="M10" i="71"/>
  <c r="U10" i="71"/>
  <c r="N15" i="71"/>
  <c r="K18" i="71"/>
  <c r="T21" i="71"/>
  <c r="P4" i="71"/>
  <c r="M5" i="71"/>
  <c r="P42" i="71"/>
  <c r="H4" i="71"/>
  <c r="AJ4" i="71"/>
  <c r="AJ19" i="71" s="1"/>
  <c r="U6" i="71"/>
  <c r="T4" i="71"/>
  <c r="Q5" i="71"/>
  <c r="N6" i="71"/>
  <c r="M7" i="71"/>
  <c r="U7" i="71"/>
  <c r="H8" i="71"/>
  <c r="R11" i="71"/>
  <c r="Q12" i="71"/>
  <c r="N13" i="71"/>
  <c r="M18" i="71"/>
  <c r="U18" i="71"/>
  <c r="N10" i="71"/>
  <c r="Z11" i="71"/>
  <c r="Q11" i="71" s="1"/>
  <c r="M4" i="71"/>
  <c r="N7" i="71"/>
  <c r="N18" i="71"/>
  <c r="S13" i="71" l="1"/>
  <c r="Q6" i="71"/>
  <c r="AC17" i="71"/>
  <c r="AM17" i="71" s="1"/>
  <c r="F24" i="71"/>
  <c r="V10" i="71"/>
  <c r="AD10" i="71" s="1"/>
  <c r="AO10" i="71" s="1"/>
  <c r="V18" i="71"/>
  <c r="AD18" i="71" s="1"/>
  <c r="AO18" i="71" s="1"/>
  <c r="Q17" i="71"/>
  <c r="AB17" i="71" s="1"/>
  <c r="V7" i="71"/>
  <c r="AD7" i="71" s="1"/>
  <c r="AO7" i="71" s="1"/>
  <c r="AC16" i="71"/>
  <c r="AM16" i="71" s="1"/>
  <c r="V12" i="71"/>
  <c r="AD12" i="71" s="1"/>
  <c r="AO12" i="71" s="1"/>
  <c r="V13" i="71"/>
  <c r="AD13" i="71" s="1"/>
  <c r="AN13" i="71" s="1"/>
  <c r="S11" i="71"/>
  <c r="AC11" i="71" s="1"/>
  <c r="V16" i="71"/>
  <c r="AD16" i="71" s="1"/>
  <c r="AN16" i="71" s="1"/>
  <c r="AB15" i="71"/>
  <c r="H22" i="71"/>
  <c r="H23" i="71" s="1"/>
  <c r="H19" i="71"/>
  <c r="AK4" i="71"/>
  <c r="I4" i="71"/>
  <c r="R4" i="71" s="1"/>
  <c r="AB6" i="71"/>
  <c r="AC12" i="71"/>
  <c r="V6" i="71"/>
  <c r="AD6" i="71" s="1"/>
  <c r="AO6" i="71" s="1"/>
  <c r="AB7" i="71"/>
  <c r="AC15" i="71"/>
  <c r="Q9" i="71"/>
  <c r="AB8" i="71"/>
  <c r="Q45" i="71"/>
  <c r="AK9" i="71"/>
  <c r="I9" i="71"/>
  <c r="AB10" i="71"/>
  <c r="AC6" i="71"/>
  <c r="AB5" i="71"/>
  <c r="P43" i="71"/>
  <c r="Q4" i="71"/>
  <c r="P19" i="71"/>
  <c r="P20" i="71" s="1"/>
  <c r="AB16" i="71"/>
  <c r="AC5" i="71"/>
  <c r="V15" i="71"/>
  <c r="AD15" i="71" s="1"/>
  <c r="AO15" i="71" s="1"/>
  <c r="AC10" i="71"/>
  <c r="T22" i="71"/>
  <c r="T23" i="71" s="1"/>
  <c r="T46" i="71"/>
  <c r="T19" i="71"/>
  <c r="T43" i="71"/>
  <c r="T47" i="71" s="1"/>
  <c r="AC13" i="71"/>
  <c r="AM13" i="71" s="1"/>
  <c r="AK8" i="71"/>
  <c r="I8" i="71"/>
  <c r="M19" i="71"/>
  <c r="AB18" i="71"/>
  <c r="AB11" i="71"/>
  <c r="AB12" i="71"/>
  <c r="R14" i="71"/>
  <c r="Q14" i="71"/>
  <c r="V5" i="71"/>
  <c r="AC18" i="71"/>
  <c r="N14" i="71"/>
  <c r="U14" i="71"/>
  <c r="U42" i="71" s="1"/>
  <c r="K14" i="71"/>
  <c r="AB13" i="71"/>
  <c r="AC7" i="71"/>
  <c r="W18" i="71" l="1"/>
  <c r="X18" i="71" s="1"/>
  <c r="V17" i="71"/>
  <c r="W7" i="71"/>
  <c r="X7" i="71" s="1"/>
  <c r="T24" i="71"/>
  <c r="AE12" i="71"/>
  <c r="W13" i="71"/>
  <c r="W12" i="71"/>
  <c r="X12" i="71" s="1"/>
  <c r="V11" i="71"/>
  <c r="AD11" i="71" s="1"/>
  <c r="AO11" i="71" s="1"/>
  <c r="AK19" i="71"/>
  <c r="W10" i="71"/>
  <c r="X10" i="71" s="1"/>
  <c r="W16" i="71"/>
  <c r="X16" i="71" s="1"/>
  <c r="AE16" i="71"/>
  <c r="AA7" i="71"/>
  <c r="AE7" i="71"/>
  <c r="AF7" i="71" s="1"/>
  <c r="AE13" i="71"/>
  <c r="AA18" i="71"/>
  <c r="AE18" i="71"/>
  <c r="AB14" i="71"/>
  <c r="AB42" i="71" s="1"/>
  <c r="AM5" i="71"/>
  <c r="K8" i="71"/>
  <c r="N8" i="71"/>
  <c r="U8" i="71"/>
  <c r="U45" i="71" s="1"/>
  <c r="R8" i="71"/>
  <c r="S8" i="71" s="1"/>
  <c r="AE10" i="71"/>
  <c r="W6" i="71"/>
  <c r="AB4" i="71"/>
  <c r="Q46" i="71"/>
  <c r="Q19" i="71"/>
  <c r="Q43" i="71"/>
  <c r="Q47" i="71" s="1"/>
  <c r="AD17" i="71"/>
  <c r="AN17" i="71" s="1"/>
  <c r="W17" i="71"/>
  <c r="S4" i="71"/>
  <c r="V4" i="71" s="1"/>
  <c r="N9" i="71"/>
  <c r="U9" i="71"/>
  <c r="V9" i="71" s="1"/>
  <c r="AD9" i="71" s="1"/>
  <c r="AO9" i="71" s="1"/>
  <c r="K9" i="71"/>
  <c r="AB9" i="71"/>
  <c r="AE15" i="71"/>
  <c r="AD5" i="71"/>
  <c r="H24" i="71"/>
  <c r="W5" i="71"/>
  <c r="R9" i="71"/>
  <c r="S9" i="71" s="1"/>
  <c r="AE6" i="71"/>
  <c r="S14" i="71"/>
  <c r="V14" i="71" s="1"/>
  <c r="AD14" i="71" s="1"/>
  <c r="AN14" i="71" s="1"/>
  <c r="R42" i="71"/>
  <c r="Q42" i="71"/>
  <c r="W15" i="71"/>
  <c r="N4" i="71"/>
  <c r="I22" i="71"/>
  <c r="I23" i="71" s="1"/>
  <c r="U4" i="71"/>
  <c r="I19" i="71"/>
  <c r="K4" i="71"/>
  <c r="AA16" i="71" l="1"/>
  <c r="AA10" i="71"/>
  <c r="AF10" i="71" s="1"/>
  <c r="AA12" i="71"/>
  <c r="AF12" i="71" s="1"/>
  <c r="AE11" i="71"/>
  <c r="X13" i="71"/>
  <c r="AA13" i="71"/>
  <c r="AF13" i="71" s="1"/>
  <c r="AE17" i="71"/>
  <c r="N19" i="71"/>
  <c r="AF16" i="71"/>
  <c r="W11" i="71"/>
  <c r="I24" i="71"/>
  <c r="AD42" i="71"/>
  <c r="AN5" i="71"/>
  <c r="AN19" i="71" s="1"/>
  <c r="X17" i="71"/>
  <c r="AA17" i="71"/>
  <c r="AF17" i="71" s="1"/>
  <c r="AB43" i="71"/>
  <c r="AB19" i="71"/>
  <c r="X11" i="71"/>
  <c r="AA11" i="71"/>
  <c r="R19" i="71"/>
  <c r="U46" i="71"/>
  <c r="U19" i="71"/>
  <c r="U43" i="71"/>
  <c r="AC4" i="71"/>
  <c r="S46" i="71"/>
  <c r="S19" i="71"/>
  <c r="W4" i="71"/>
  <c r="S43" i="71"/>
  <c r="AC9" i="71"/>
  <c r="AE9" i="71" s="1"/>
  <c r="W9" i="71"/>
  <c r="AE5" i="71"/>
  <c r="X5" i="71"/>
  <c r="AA5" i="71"/>
  <c r="W34" i="71"/>
  <c r="Z19" i="71"/>
  <c r="S45" i="71"/>
  <c r="AC8" i="71"/>
  <c r="X15" i="71"/>
  <c r="AA15" i="71"/>
  <c r="AF15" i="71" s="1"/>
  <c r="V46" i="71"/>
  <c r="AD4" i="71"/>
  <c r="V42" i="71"/>
  <c r="V8" i="71"/>
  <c r="V43" i="71" s="1"/>
  <c r="K19" i="71"/>
  <c r="K41" i="71" s="1"/>
  <c r="AC14" i="71"/>
  <c r="AE14" i="71" s="1"/>
  <c r="W14" i="71"/>
  <c r="S42" i="71"/>
  <c r="R43" i="71"/>
  <c r="X6" i="71"/>
  <c r="AA6" i="71"/>
  <c r="U47" i="71" l="1"/>
  <c r="W8" i="71"/>
  <c r="AE42" i="71"/>
  <c r="AF5" i="71"/>
  <c r="AC19" i="71"/>
  <c r="AC43" i="71"/>
  <c r="X9" i="71"/>
  <c r="AA9" i="71"/>
  <c r="AF9" i="71" s="1"/>
  <c r="AE4" i="71"/>
  <c r="AD8" i="71"/>
  <c r="AO8" i="71" s="1"/>
  <c r="V45" i="71"/>
  <c r="V47" i="71" s="1"/>
  <c r="V19" i="71"/>
  <c r="AD19" i="71"/>
  <c r="AO4" i="71"/>
  <c r="AO19" i="71" s="1"/>
  <c r="AO41" i="71" s="1"/>
  <c r="AD43" i="71"/>
  <c r="S47" i="71"/>
  <c r="X14" i="71"/>
  <c r="AA14" i="71"/>
  <c r="AA42" i="71"/>
  <c r="AM14" i="71"/>
  <c r="AM19" i="71" s="1"/>
  <c r="AM41" i="71" s="1"/>
  <c r="AC42" i="71"/>
  <c r="W21" i="71"/>
  <c r="W19" i="71"/>
  <c r="W35" i="71" s="1"/>
  <c r="W36" i="71" s="1"/>
  <c r="W22" i="71"/>
  <c r="AA4" i="71"/>
  <c r="X4" i="71"/>
  <c r="AE8" i="71"/>
  <c r="AF14" i="71"/>
  <c r="W23" i="71" l="1"/>
  <c r="W24" i="71" s="1"/>
  <c r="AO43" i="71"/>
  <c r="AA46" i="71"/>
  <c r="AA43" i="71"/>
  <c r="AA47" i="71" s="1"/>
  <c r="AA8" i="71"/>
  <c r="AA45" i="71" s="1"/>
  <c r="X8" i="71"/>
  <c r="AE19" i="71"/>
  <c r="AE43" i="71"/>
  <c r="AF4" i="71"/>
  <c r="AA19" i="71" l="1"/>
  <c r="AF19" i="71" s="1"/>
  <c r="AF8" i="71"/>
  <c r="D83" i="37" l="1"/>
  <c r="D85" i="37"/>
  <c r="D87" i="37"/>
  <c r="D91" i="37"/>
  <c r="D92" i="37"/>
  <c r="D95" i="37"/>
  <c r="D96" i="37"/>
  <c r="D99" i="37"/>
  <c r="D101" i="37"/>
  <c r="D102" i="37"/>
  <c r="D105" i="37"/>
  <c r="D107" i="37"/>
  <c r="D112" i="37"/>
  <c r="D114" i="37"/>
  <c r="D117" i="37"/>
  <c r="D118" i="37"/>
  <c r="D120" i="37"/>
  <c r="D123" i="37"/>
  <c r="D125" i="37"/>
  <c r="D129" i="37"/>
  <c r="D131" i="37"/>
  <c r="D132" i="37"/>
  <c r="D134" i="37"/>
  <c r="D135" i="37"/>
  <c r="D137" i="37"/>
  <c r="D138" i="37"/>
  <c r="D139" i="37"/>
  <c r="D141" i="37"/>
  <c r="D82" i="37"/>
  <c r="D142" i="37" l="1"/>
  <c r="D133" i="37"/>
  <c r="D130" i="37"/>
  <c r="D127" i="37"/>
  <c r="D122" i="37"/>
  <c r="D119" i="37"/>
  <c r="D116" i="37"/>
  <c r="D115" i="37"/>
  <c r="D113" i="37"/>
  <c r="D111" i="37"/>
  <c r="D110" i="37"/>
  <c r="D109" i="37"/>
  <c r="D108" i="37"/>
  <c r="D106" i="37"/>
  <c r="D104" i="37"/>
  <c r="D103" i="37"/>
  <c r="D100" i="37"/>
  <c r="D98" i="37"/>
  <c r="D97" i="37"/>
  <c r="D94" i="37"/>
  <c r="D93" i="37"/>
  <c r="D90" i="37"/>
  <c r="D89" i="37"/>
  <c r="D88" i="37"/>
  <c r="D86" i="37"/>
  <c r="D84" i="37"/>
  <c r="D140" i="37"/>
  <c r="D136" i="37"/>
  <c r="D128" i="37"/>
  <c r="D126" i="37"/>
  <c r="D124" i="37"/>
  <c r="D121" i="37"/>
  <c r="H5" i="39" l="1"/>
  <c r="B3" i="39"/>
  <c r="I5" i="39" l="1"/>
  <c r="H42" i="39" l="1"/>
  <c r="I76" i="39"/>
  <c r="H76" i="39"/>
  <c r="H65" i="39"/>
  <c r="H66" i="39" s="1"/>
  <c r="H52" i="39"/>
  <c r="H57" i="39"/>
  <c r="H59" i="39" s="1"/>
  <c r="H10" i="39"/>
  <c r="I10" i="39"/>
  <c r="F26" i="39"/>
  <c r="F34" i="39"/>
  <c r="F29" i="39"/>
  <c r="F28" i="39"/>
  <c r="F36" i="39"/>
  <c r="F25" i="39"/>
  <c r="F23" i="39"/>
  <c r="Q23" i="39" s="1"/>
  <c r="I22" i="39"/>
  <c r="F32" i="39"/>
  <c r="F22" i="39"/>
  <c r="Q22" i="39" s="1"/>
  <c r="F30" i="39"/>
  <c r="G59" i="39"/>
  <c r="I57" i="39" s="1"/>
  <c r="I59" i="39" s="1"/>
  <c r="H22" i="39"/>
  <c r="F59" i="39"/>
  <c r="F27" i="39"/>
  <c r="I42" i="39"/>
  <c r="I40" i="39"/>
  <c r="I38" i="39"/>
  <c r="I36" i="39"/>
  <c r="I34" i="39"/>
  <c r="I47" i="39"/>
  <c r="I32" i="39"/>
  <c r="I46" i="39"/>
  <c r="I44" i="39"/>
  <c r="Q44" i="39" s="1"/>
  <c r="I23" i="39"/>
  <c r="I25" i="39"/>
  <c r="I17" i="39"/>
  <c r="I16" i="39"/>
  <c r="I18" i="39"/>
  <c r="H32" i="39"/>
  <c r="D28" i="39"/>
  <c r="D23" i="39"/>
  <c r="H47" i="39"/>
  <c r="H25" i="39"/>
  <c r="D34" i="39"/>
  <c r="D29" i="39"/>
  <c r="D36" i="39"/>
  <c r="H46" i="39"/>
  <c r="H23" i="39"/>
  <c r="D27" i="39"/>
  <c r="D22" i="39"/>
  <c r="H44" i="39"/>
  <c r="H18" i="39"/>
  <c r="D25" i="39"/>
  <c r="H34" i="39"/>
  <c r="H40" i="39"/>
  <c r="D32" i="39"/>
  <c r="D30" i="39"/>
  <c r="D26" i="39"/>
  <c r="H17" i="39"/>
  <c r="H38" i="39"/>
  <c r="H16" i="39"/>
  <c r="H36" i="39"/>
  <c r="I8" i="39"/>
  <c r="H9" i="39"/>
  <c r="D17" i="39" s="1"/>
  <c r="H8" i="39"/>
  <c r="I9" i="39"/>
  <c r="K3" i="39"/>
  <c r="J5" i="39"/>
  <c r="I4" i="39"/>
  <c r="R23" i="39" l="1"/>
  <c r="I65" i="39"/>
  <c r="I64" i="39"/>
  <c r="J52" i="39"/>
  <c r="K52" i="39"/>
  <c r="R22" i="39"/>
  <c r="J22" i="39"/>
  <c r="K22" i="39" s="1"/>
  <c r="I11" i="39"/>
  <c r="H11" i="39"/>
  <c r="D16" i="39"/>
  <c r="H70" i="39"/>
  <c r="H19" i="39"/>
  <c r="B3" i="37"/>
  <c r="H5" i="37"/>
  <c r="E49" i="62"/>
  <c r="E48" i="62"/>
  <c r="I66" i="39" l="1"/>
  <c r="J64" i="39"/>
  <c r="H49" i="39"/>
  <c r="H55" i="39" s="1"/>
  <c r="H20" i="39"/>
  <c r="I5" i="37"/>
  <c r="E61" i="62"/>
  <c r="E60" i="62"/>
  <c r="O57" i="62"/>
  <c r="O53" i="62"/>
  <c r="F5" i="62"/>
  <c r="G4" i="62"/>
  <c r="B3" i="62"/>
  <c r="H41" i="37" l="1"/>
  <c r="H65" i="37"/>
  <c r="H66" i="37" s="1"/>
  <c r="H52" i="37"/>
  <c r="J52" i="37" s="1"/>
  <c r="K52" i="37" s="1"/>
  <c r="F59" i="37"/>
  <c r="G59" i="37"/>
  <c r="I57" i="37" s="1"/>
  <c r="I59" i="37" s="1"/>
  <c r="H57" i="37"/>
  <c r="H59" i="37" s="1"/>
  <c r="H9" i="37"/>
  <c r="I47" i="37"/>
  <c r="H44" i="37"/>
  <c r="H47" i="37"/>
  <c r="I46" i="37"/>
  <c r="H42" i="37"/>
  <c r="I44" i="37"/>
  <c r="I38" i="37"/>
  <c r="H46" i="37"/>
  <c r="I41" i="37"/>
  <c r="H38" i="37"/>
  <c r="I9" i="37"/>
  <c r="I8" i="37"/>
  <c r="H8" i="37"/>
  <c r="H10" i="37" s="1"/>
  <c r="J3" i="37"/>
  <c r="G61" i="39"/>
  <c r="I4" i="37"/>
  <c r="J5" i="37"/>
  <c r="G5" i="62"/>
  <c r="D49" i="62" s="1"/>
  <c r="I65" i="37" l="1"/>
  <c r="I64" i="37"/>
  <c r="G49" i="62"/>
  <c r="D48" i="62"/>
  <c r="G48" i="62" s="1"/>
  <c r="D45" i="62"/>
  <c r="D46" i="62"/>
  <c r="D43" i="62"/>
  <c r="D42" i="62"/>
  <c r="D39" i="62"/>
  <c r="D37" i="62"/>
  <c r="D35" i="62"/>
  <c r="D32" i="62"/>
  <c r="D30" i="62"/>
  <c r="D28" i="62"/>
  <c r="D26" i="62"/>
  <c r="D40" i="62"/>
  <c r="D38" i="62"/>
  <c r="D36" i="62"/>
  <c r="D33" i="62"/>
  <c r="D31" i="62"/>
  <c r="D29" i="62"/>
  <c r="D25" i="62"/>
  <c r="D18" i="62"/>
  <c r="G8" i="62" s="1"/>
  <c r="F8" i="62"/>
  <c r="F18" i="62"/>
  <c r="F78" i="62"/>
  <c r="F74" i="62"/>
  <c r="F73" i="62"/>
  <c r="D73" i="62"/>
  <c r="F72" i="62"/>
  <c r="F71" i="62"/>
  <c r="F66" i="62"/>
  <c r="G60" i="62"/>
  <c r="E23" i="62"/>
  <c r="G90" i="62" s="1"/>
  <c r="E73" i="62"/>
  <c r="G72" i="62"/>
  <c r="G55" i="62"/>
  <c r="G53" i="62"/>
  <c r="E22" i="62"/>
  <c r="G11" i="62"/>
  <c r="G10" i="62"/>
  <c r="G9" i="62"/>
  <c r="H5" i="62"/>
  <c r="F26" i="62" s="1"/>
  <c r="G74" i="62"/>
  <c r="G73" i="62"/>
  <c r="G71" i="62"/>
  <c r="G66" i="62"/>
  <c r="G61" i="62"/>
  <c r="G57" i="62"/>
  <c r="G51" i="62"/>
  <c r="I66" i="37" l="1"/>
  <c r="J64" i="37"/>
  <c r="F48" i="62"/>
  <c r="H48" i="62" s="1"/>
  <c r="I48" i="62" s="1"/>
  <c r="F49" i="62"/>
  <c r="H49" i="62" s="1"/>
  <c r="G12" i="62"/>
  <c r="F45" i="62"/>
  <c r="F46" i="62"/>
  <c r="O49" i="62"/>
  <c r="P49" i="62" s="1"/>
  <c r="F42" i="62"/>
  <c r="F43" i="62"/>
  <c r="F28" i="62"/>
  <c r="F35" i="62"/>
  <c r="F25" i="62"/>
  <c r="H8" i="62"/>
  <c r="I8" i="62" s="1"/>
  <c r="H72" i="62"/>
  <c r="H74" i="62"/>
  <c r="H66" i="62"/>
  <c r="P57" i="62"/>
  <c r="F61" i="62"/>
  <c r="F59" i="62"/>
  <c r="I59" i="62" s="1"/>
  <c r="F57" i="62"/>
  <c r="F55" i="62"/>
  <c r="H55" i="62" s="1"/>
  <c r="F53" i="62"/>
  <c r="F51" i="62"/>
  <c r="H51" i="62" s="1"/>
  <c r="F60" i="62"/>
  <c r="I60" i="62" s="1"/>
  <c r="F20" i="62"/>
  <c r="F19" i="62"/>
  <c r="F11" i="62"/>
  <c r="F10" i="62"/>
  <c r="F9" i="62"/>
  <c r="H9" i="62" s="1"/>
  <c r="I9" i="62" s="1"/>
  <c r="I5" i="62"/>
  <c r="J5" i="62" s="1"/>
  <c r="D20" i="62"/>
  <c r="O55" i="62"/>
  <c r="P55" i="62" s="1"/>
  <c r="I66" i="62"/>
  <c r="I74" i="62"/>
  <c r="O51" i="62"/>
  <c r="P51" i="62" s="1"/>
  <c r="H73" i="62"/>
  <c r="G76" i="62"/>
  <c r="D19" i="62"/>
  <c r="P53" i="62"/>
  <c r="I72" i="62"/>
  <c r="F76" i="62"/>
  <c r="I73" i="62"/>
  <c r="F79" i="62"/>
  <c r="G78" i="62"/>
  <c r="F63" i="62" l="1"/>
  <c r="H10" i="62"/>
  <c r="I10" i="62" s="1"/>
  <c r="F12" i="62"/>
  <c r="I49" i="62"/>
  <c r="H53" i="62"/>
  <c r="I53" i="62" s="1"/>
  <c r="H60" i="62"/>
  <c r="H12" i="62"/>
  <c r="I12" i="62" s="1"/>
  <c r="I51" i="62"/>
  <c r="I55" i="62"/>
  <c r="H78" i="62"/>
  <c r="I78" i="62" s="1"/>
  <c r="G79" i="62"/>
  <c r="H11" i="62"/>
  <c r="I11" i="62" s="1"/>
  <c r="H76" i="62"/>
  <c r="I76" i="62" s="1"/>
  <c r="F83" i="62"/>
  <c r="H61" i="62"/>
  <c r="I61" i="62" s="1"/>
  <c r="H57" i="62"/>
  <c r="I57" i="62" s="1"/>
  <c r="F64" i="62" l="1"/>
  <c r="F68" i="62" s="1"/>
  <c r="F69" i="62"/>
  <c r="H79" i="62"/>
  <c r="I79" i="62" l="1"/>
  <c r="F89" i="62"/>
  <c r="F87" i="62"/>
  <c r="F81" i="62"/>
  <c r="F86" i="62" l="1"/>
  <c r="F85" i="62"/>
  <c r="I3" i="62" l="1"/>
  <c r="F90" i="62" l="1"/>
  <c r="H90" i="62" l="1"/>
  <c r="F91" i="62"/>
  <c r="I90" i="62" l="1"/>
  <c r="E18" i="62" l="1"/>
  <c r="G18" i="62" s="1"/>
  <c r="H18" i="62" l="1"/>
  <c r="I18" i="62" s="1"/>
  <c r="F17" i="39" l="1"/>
  <c r="Q17" i="39" s="1"/>
  <c r="J44" i="39" l="1"/>
  <c r="J46" i="39"/>
  <c r="J38" i="39"/>
  <c r="J9" i="39"/>
  <c r="K9" i="39" s="1"/>
  <c r="F16" i="39"/>
  <c r="J10" i="39"/>
  <c r="K5" i="39"/>
  <c r="L5" i="39" s="1"/>
  <c r="Q38" i="39"/>
  <c r="R38" i="39" s="1"/>
  <c r="R44" i="39"/>
  <c r="H58" i="39" l="1"/>
  <c r="K10" i="39"/>
  <c r="J47" i="39"/>
  <c r="K47" i="39" s="1"/>
  <c r="K44" i="39"/>
  <c r="K38" i="39"/>
  <c r="K46" i="39"/>
  <c r="H50" i="39" l="1"/>
  <c r="H54" i="39" s="1"/>
  <c r="H73" i="39" l="1"/>
  <c r="H75" i="39"/>
  <c r="H77" i="39" s="1"/>
  <c r="J59" i="39"/>
  <c r="K59" i="39" s="1"/>
  <c r="H4" i="37" l="1"/>
  <c r="J9" i="37" l="1"/>
  <c r="K9" i="37" s="1"/>
  <c r="J59" i="37"/>
  <c r="K59" i="37" s="1"/>
  <c r="K5" i="37"/>
  <c r="P44" i="37"/>
  <c r="P40" i="37"/>
  <c r="J47" i="37" l="1"/>
  <c r="J46" i="37"/>
  <c r="K46" i="37" s="1"/>
  <c r="J38" i="37"/>
  <c r="K38" i="37" s="1"/>
  <c r="J44" i="37"/>
  <c r="K44" i="37" s="1"/>
  <c r="Q44" i="37"/>
  <c r="P38" i="37"/>
  <c r="Q38" i="37" s="1"/>
  <c r="P41" i="37"/>
  <c r="Q41" i="37" s="1"/>
  <c r="K47" i="37" l="1"/>
  <c r="J65" i="39" l="1"/>
  <c r="J66" i="39" s="1"/>
  <c r="J65" i="37"/>
  <c r="J66" i="37" s="1"/>
  <c r="K65" i="39" l="1"/>
  <c r="K65" i="37"/>
  <c r="I10" i="37" l="1"/>
  <c r="F16" i="37" s="1"/>
  <c r="J8" i="39" l="1"/>
  <c r="K8" i="39" s="1"/>
  <c r="P16" i="37" l="1"/>
  <c r="J11" i="39"/>
  <c r="K11" i="39" s="1"/>
  <c r="E42" i="62" l="1"/>
  <c r="G42" i="62" l="1"/>
  <c r="H42" i="62" s="1"/>
  <c r="I42" i="62" s="1"/>
  <c r="O42" i="62"/>
  <c r="P42" i="62" s="1"/>
  <c r="E39" i="62" l="1"/>
  <c r="O39" i="62" s="1"/>
  <c r="P39" i="62" s="1"/>
  <c r="E40" i="62"/>
  <c r="O40" i="62" s="1"/>
  <c r="P40" i="62" s="1"/>
  <c r="E36" i="62"/>
  <c r="O36" i="62" s="1"/>
  <c r="P36" i="62" s="1"/>
  <c r="E38" i="62"/>
  <c r="O38" i="62" s="1"/>
  <c r="P38" i="62" s="1"/>
  <c r="E37" i="62"/>
  <c r="O37" i="62" s="1"/>
  <c r="P37" i="62" s="1"/>
  <c r="E35" i="62"/>
  <c r="G35" i="62" l="1"/>
  <c r="O35" i="62"/>
  <c r="H35" i="62" l="1"/>
  <c r="I35" i="62" s="1"/>
  <c r="P35" i="62"/>
  <c r="E46" i="62" l="1"/>
  <c r="O46" i="62" l="1"/>
  <c r="G46" i="62"/>
  <c r="E45" i="62" l="1"/>
  <c r="P46" i="62"/>
  <c r="H46" i="62"/>
  <c r="I46" i="62" s="1"/>
  <c r="G45" i="62" l="1"/>
  <c r="O45" i="62"/>
  <c r="P45" i="62" l="1"/>
  <c r="H45" i="62"/>
  <c r="I45" i="62" s="1"/>
  <c r="E26" i="62" l="1"/>
  <c r="G26" i="62" l="1"/>
  <c r="O26" i="62"/>
  <c r="H26" i="62" l="1"/>
  <c r="I26" i="62" s="1"/>
  <c r="P26" i="62"/>
  <c r="Q40" i="62" s="1"/>
  <c r="E20" i="62" l="1"/>
  <c r="G20" i="62" s="1"/>
  <c r="H20" i="62" s="1"/>
  <c r="I20" i="62" s="1"/>
  <c r="E19" i="62" l="1"/>
  <c r="J17" i="39" l="1"/>
  <c r="K17" i="39" s="1"/>
  <c r="R17" i="39"/>
  <c r="Q16" i="39"/>
  <c r="O19" i="62"/>
  <c r="G19" i="62"/>
  <c r="H19" i="62" l="1"/>
  <c r="P19" i="62"/>
  <c r="R16" i="39"/>
  <c r="J16" i="39"/>
  <c r="K16" i="39" l="1"/>
  <c r="I19" i="62"/>
  <c r="E43" i="62" l="1"/>
  <c r="O43" i="62" l="1"/>
  <c r="G43" i="62"/>
  <c r="P43" i="62" l="1"/>
  <c r="H43" i="62"/>
  <c r="G83" i="62"/>
  <c r="H83" i="62" s="1"/>
  <c r="I83" i="62" s="1"/>
  <c r="I43" i="62" l="1"/>
  <c r="G59" i="62" l="1"/>
  <c r="H59" i="62" l="1"/>
  <c r="J8" i="37" l="1"/>
  <c r="K8" i="37" s="1"/>
  <c r="J10" i="37" l="1"/>
  <c r="K10" i="37" s="1"/>
  <c r="D16" i="37"/>
  <c r="J42" i="39" l="1"/>
  <c r="K42" i="39" s="1"/>
  <c r="Q42" i="39"/>
  <c r="R42" i="39" s="1"/>
  <c r="E25" i="62" l="1"/>
  <c r="G25" i="62" s="1"/>
  <c r="H25" i="62" l="1"/>
  <c r="I25" i="62" l="1"/>
  <c r="I42" i="37" l="1"/>
  <c r="J42" i="37" l="1"/>
  <c r="K42" i="37" s="1"/>
  <c r="P42" i="37"/>
  <c r="Q42" i="37" s="1"/>
  <c r="J41" i="37" l="1"/>
  <c r="K41" i="37" s="1"/>
  <c r="H40" i="37" l="1"/>
  <c r="Q40" i="39" l="1"/>
  <c r="R40" i="39" s="1"/>
  <c r="J40" i="39"/>
  <c r="K40" i="39" s="1"/>
  <c r="E16" i="37" l="1"/>
  <c r="L14" i="37" s="1"/>
  <c r="E25" i="37" l="1"/>
  <c r="E30" i="37"/>
  <c r="E27" i="37" l="1"/>
  <c r="E26" i="37"/>
  <c r="E28" i="37"/>
  <c r="E29" i="37"/>
  <c r="D34" i="37" l="1"/>
  <c r="D36" i="37"/>
  <c r="H16" i="37" l="1"/>
  <c r="D32" i="37"/>
  <c r="D29" i="37"/>
  <c r="D27" i="37"/>
  <c r="D28" i="37"/>
  <c r="D26" i="37"/>
  <c r="D25" i="37"/>
  <c r="D30" i="37"/>
  <c r="D22" i="37"/>
  <c r="D23" i="37"/>
  <c r="H36" i="37" l="1"/>
  <c r="H34" i="37" l="1"/>
  <c r="H32" i="37"/>
  <c r="H25" i="37"/>
  <c r="Q36" i="39" l="1"/>
  <c r="Q29" i="39"/>
  <c r="R29" i="39" s="1"/>
  <c r="Q25" i="39"/>
  <c r="Q30" i="39"/>
  <c r="R30" i="39" s="1"/>
  <c r="Q27" i="39"/>
  <c r="R27" i="39" s="1"/>
  <c r="Q26" i="39"/>
  <c r="R26" i="39" s="1"/>
  <c r="Q28" i="39"/>
  <c r="R28" i="39" s="1"/>
  <c r="Q34" i="39"/>
  <c r="Q32" i="39"/>
  <c r="E23" i="37" l="1"/>
  <c r="E22" i="37"/>
  <c r="H23" i="37" l="1"/>
  <c r="H22" i="37"/>
  <c r="H70" i="37" l="1"/>
  <c r="H18" i="37"/>
  <c r="H19" i="37" l="1"/>
  <c r="H20" i="37" s="1"/>
  <c r="H49" i="37" s="1"/>
  <c r="H50" i="37" l="1"/>
  <c r="H54" i="37" s="1"/>
  <c r="H55" i="37" s="1"/>
  <c r="H77" i="37" l="1"/>
  <c r="H75" i="37"/>
  <c r="G61" i="37"/>
  <c r="H58" i="37" s="1"/>
  <c r="H73" i="37"/>
  <c r="J34" i="39"/>
  <c r="K34" i="39" s="1"/>
  <c r="R34" i="39"/>
  <c r="R36" i="39" l="1"/>
  <c r="J36" i="39"/>
  <c r="K36" i="39" s="1"/>
  <c r="R32" i="39" l="1"/>
  <c r="J32" i="39"/>
  <c r="K32" i="39" s="1"/>
  <c r="J25" i="39"/>
  <c r="K25" i="39" s="1"/>
  <c r="R25" i="39"/>
  <c r="S30" i="39" l="1"/>
  <c r="J23" i="39" l="1"/>
  <c r="K23" i="39" s="1"/>
  <c r="I70" i="39"/>
  <c r="J70" i="39" s="1"/>
  <c r="K70" i="39" s="1"/>
  <c r="J18" i="39" l="1"/>
  <c r="I19" i="39"/>
  <c r="J19" i="39" l="1"/>
  <c r="K18" i="39"/>
  <c r="I49" i="39"/>
  <c r="I50" i="39" s="1"/>
  <c r="I20" i="39"/>
  <c r="J20" i="39" s="1"/>
  <c r="K20" i="39" s="1"/>
  <c r="J49" i="39"/>
  <c r="K49" i="39" s="1"/>
  <c r="K19" i="39"/>
  <c r="I54" i="39" l="1"/>
  <c r="J50" i="39"/>
  <c r="I58" i="39"/>
  <c r="I60" i="39" s="1"/>
  <c r="I55" i="39" l="1"/>
  <c r="I73" i="39"/>
  <c r="J58" i="39"/>
  <c r="K58" i="39" s="1"/>
  <c r="K50" i="39"/>
  <c r="J54" i="39"/>
  <c r="J73" i="39"/>
  <c r="K73" i="39" s="1"/>
  <c r="I75" i="39"/>
  <c r="K54" i="39" l="1"/>
  <c r="J75" i="39"/>
  <c r="I62" i="39"/>
  <c r="I68" i="39" l="1"/>
  <c r="I72" i="39" s="1"/>
  <c r="K75" i="39"/>
  <c r="H78" i="37" l="1"/>
  <c r="H79" i="37" s="1"/>
  <c r="J76" i="39" l="1"/>
  <c r="I77" i="39"/>
  <c r="K76" i="39" l="1"/>
  <c r="J77" i="39"/>
  <c r="K77" i="39" s="1"/>
  <c r="G4" i="74" l="1"/>
  <c r="G7" i="74"/>
  <c r="G9" i="74"/>
  <c r="G19" i="74"/>
  <c r="G6" i="74"/>
  <c r="G8" i="74"/>
  <c r="G17" i="74"/>
  <c r="G5" i="74"/>
  <c r="G18" i="74"/>
  <c r="G15" i="74"/>
  <c r="G13" i="74"/>
  <c r="G10" i="74"/>
  <c r="G11" i="74"/>
  <c r="G14" i="74"/>
  <c r="G16" i="74"/>
  <c r="AF9" i="74" l="1"/>
  <c r="L9" i="74"/>
  <c r="H9" i="74"/>
  <c r="I9" i="74" s="1"/>
  <c r="M9" i="74"/>
  <c r="T9" i="74" s="1"/>
  <c r="AF10" i="74"/>
  <c r="M10" i="74"/>
  <c r="T10" i="74" s="1"/>
  <c r="L10" i="74"/>
  <c r="H10" i="74"/>
  <c r="I10" i="74" s="1"/>
  <c r="H14" i="74"/>
  <c r="I14" i="74" s="1"/>
  <c r="AF14" i="74"/>
  <c r="L14" i="74"/>
  <c r="M14" i="74"/>
  <c r="T14" i="74" s="1"/>
  <c r="AF15" i="74"/>
  <c r="L15" i="74"/>
  <c r="M15" i="74"/>
  <c r="T15" i="74" s="1"/>
  <c r="H15" i="74"/>
  <c r="I15" i="74" s="1"/>
  <c r="AF4" i="74"/>
  <c r="L4" i="74"/>
  <c r="H4" i="74"/>
  <c r="M4" i="74"/>
  <c r="L6" i="74"/>
  <c r="H6" i="74"/>
  <c r="I6" i="74" s="1"/>
  <c r="M6" i="74"/>
  <c r="T6" i="74" s="1"/>
  <c r="AF6" i="74"/>
  <c r="H18" i="74"/>
  <c r="I18" i="74" s="1"/>
  <c r="L18" i="74"/>
  <c r="AF18" i="74"/>
  <c r="AG18" i="74" s="1"/>
  <c r="M18" i="74"/>
  <c r="T18" i="74" s="1"/>
  <c r="M13" i="74"/>
  <c r="T13" i="74" s="1"/>
  <c r="H13" i="74"/>
  <c r="I13" i="74" s="1"/>
  <c r="AF13" i="74"/>
  <c r="L13" i="74"/>
  <c r="H8" i="74"/>
  <c r="I8" i="74" s="1"/>
  <c r="L8" i="74"/>
  <c r="M8" i="74"/>
  <c r="T8" i="74" s="1"/>
  <c r="AF8" i="74"/>
  <c r="H5" i="74"/>
  <c r="I5" i="74" s="1"/>
  <c r="M5" i="74"/>
  <c r="AF5" i="74"/>
  <c r="L5" i="74"/>
  <c r="H17" i="74"/>
  <c r="I17" i="74" s="1"/>
  <c r="L17" i="74"/>
  <c r="AF17" i="74"/>
  <c r="M17" i="74"/>
  <c r="T17" i="74" s="1"/>
  <c r="AF16" i="74"/>
  <c r="L16" i="74"/>
  <c r="M16" i="74"/>
  <c r="T16" i="74" s="1"/>
  <c r="H16" i="74"/>
  <c r="I16" i="74" s="1"/>
  <c r="H11" i="74"/>
  <c r="I11" i="74" s="1"/>
  <c r="L11" i="74"/>
  <c r="M11" i="74"/>
  <c r="T11" i="74" s="1"/>
  <c r="AF11" i="74"/>
  <c r="H19" i="74"/>
  <c r="I19" i="74" s="1"/>
  <c r="AF19" i="74"/>
  <c r="M19" i="74"/>
  <c r="T19" i="74" s="1"/>
  <c r="L19" i="74"/>
  <c r="H7" i="74"/>
  <c r="I7" i="74" s="1"/>
  <c r="AF7" i="74"/>
  <c r="M7" i="74"/>
  <c r="T7" i="74" s="1"/>
  <c r="L7" i="74"/>
  <c r="N16" i="74" l="1"/>
  <c r="AG16" i="74"/>
  <c r="AG15" i="74"/>
  <c r="N15" i="74"/>
  <c r="AG10" i="74"/>
  <c r="N10" i="74"/>
  <c r="T27" i="74"/>
  <c r="T5" i="74"/>
  <c r="T24" i="74" s="1"/>
  <c r="M24" i="74"/>
  <c r="N13" i="74"/>
  <c r="AG13" i="74"/>
  <c r="AG6" i="74"/>
  <c r="N6" i="74"/>
  <c r="I27" i="74"/>
  <c r="N19" i="74"/>
  <c r="AG19" i="74"/>
  <c r="I24" i="74"/>
  <c r="N5" i="74"/>
  <c r="AG5" i="74"/>
  <c r="H60" i="37"/>
  <c r="T4" i="74"/>
  <c r="AI18" i="74"/>
  <c r="AO18" i="74" s="1"/>
  <c r="AJ18" i="74"/>
  <c r="I4" i="74"/>
  <c r="H60" i="39" s="1"/>
  <c r="N9" i="74"/>
  <c r="AG9" i="74"/>
  <c r="N17" i="74"/>
  <c r="N7" i="74"/>
  <c r="AG7" i="74"/>
  <c r="N11" i="74"/>
  <c r="AG11" i="74"/>
  <c r="AG17" i="74"/>
  <c r="N8" i="74"/>
  <c r="AG8" i="74"/>
  <c r="N18" i="74"/>
  <c r="AG14" i="74"/>
  <c r="N14" i="74"/>
  <c r="H62" i="39" l="1"/>
  <c r="H68" i="39" s="1"/>
  <c r="J60" i="39"/>
  <c r="K60" i="39" s="1"/>
  <c r="H62" i="37"/>
  <c r="AJ14" i="74"/>
  <c r="AH14" i="74"/>
  <c r="AJ8" i="74"/>
  <c r="AI8" i="74"/>
  <c r="AO8" i="74" s="1"/>
  <c r="AJ10" i="74"/>
  <c r="AI10" i="74"/>
  <c r="AO10" i="74" s="1"/>
  <c r="AJ7" i="74"/>
  <c r="AI7" i="74"/>
  <c r="AO7" i="74" s="1"/>
  <c r="AI9" i="74"/>
  <c r="AO9" i="74" s="1"/>
  <c r="AJ9" i="74"/>
  <c r="AI6" i="74"/>
  <c r="AO6" i="74" s="1"/>
  <c r="AJ6" i="74"/>
  <c r="AJ17" i="74"/>
  <c r="AH17" i="74"/>
  <c r="AJ5" i="74"/>
  <c r="AH5" i="74"/>
  <c r="AI13" i="74"/>
  <c r="AJ13" i="74"/>
  <c r="AJ15" i="74"/>
  <c r="AI15" i="74"/>
  <c r="AO15" i="74" s="1"/>
  <c r="AI11" i="74"/>
  <c r="AO11" i="74" s="1"/>
  <c r="AJ11" i="74"/>
  <c r="AJ16" i="74"/>
  <c r="AI16" i="74"/>
  <c r="AO16" i="74" s="1"/>
  <c r="AI19" i="74"/>
  <c r="AO19" i="74" s="1"/>
  <c r="AJ19" i="74"/>
  <c r="AG4" i="74"/>
  <c r="N4" i="74"/>
  <c r="H72" i="39" l="1"/>
  <c r="J72" i="39" s="1"/>
  <c r="K72" i="39" s="1"/>
  <c r="J62" i="39"/>
  <c r="K62" i="39"/>
  <c r="H68" i="37"/>
  <c r="H72" i="37" s="1"/>
  <c r="AH20" i="74"/>
  <c r="AJ4" i="74"/>
  <c r="AI4" i="74"/>
  <c r="AL13" i="74"/>
  <c r="AL20" i="74" s="1"/>
  <c r="H74" i="37" l="1"/>
  <c r="AO13" i="74"/>
  <c r="AO4" i="74"/>
  <c r="J55" i="39" l="1"/>
  <c r="K66" i="39" l="1"/>
  <c r="J68" i="39"/>
  <c r="K68" i="39" s="1"/>
  <c r="G12" i="74"/>
  <c r="M12" i="74" l="1"/>
  <c r="AF12" i="74"/>
  <c r="AF20" i="74" s="1"/>
  <c r="H12" i="74"/>
  <c r="L12" i="74"/>
  <c r="L20" i="74" s="1"/>
  <c r="I12" i="74" l="1"/>
  <c r="H20" i="74"/>
  <c r="T12" i="74"/>
  <c r="M20" i="74"/>
  <c r="M25" i="74" s="1"/>
  <c r="T20" i="74" l="1"/>
  <c r="T28" i="74"/>
  <c r="N12" i="74"/>
  <c r="AG12" i="74"/>
  <c r="I28" i="74"/>
  <c r="I20" i="74"/>
  <c r="I25" i="74" s="1"/>
  <c r="AJ12" i="74" l="1"/>
  <c r="AI12" i="74"/>
  <c r="AG20" i="74"/>
  <c r="AG21" i="74"/>
  <c r="AG22" i="74" s="1"/>
  <c r="T25" i="74"/>
  <c r="AO12" i="74" l="1"/>
  <c r="AI20" i="74"/>
  <c r="F34" i="37" l="1"/>
  <c r="P34" i="37" s="1"/>
  <c r="I40" i="37" l="1"/>
  <c r="Q40" i="37" l="1"/>
  <c r="J40" i="37"/>
  <c r="K40" i="37" s="1"/>
  <c r="F32" i="37" l="1"/>
  <c r="P32" i="37" s="1"/>
  <c r="F36" i="37"/>
  <c r="P36" i="37" s="1"/>
  <c r="I16" i="37" l="1"/>
  <c r="F29" i="37"/>
  <c r="F27" i="37"/>
  <c r="F28" i="37"/>
  <c r="F26" i="37"/>
  <c r="F25" i="37"/>
  <c r="F30" i="37"/>
  <c r="F22" i="37"/>
  <c r="P22" i="37" s="1"/>
  <c r="F23" i="37"/>
  <c r="P23" i="37" s="1"/>
  <c r="Q16" i="37" l="1"/>
  <c r="J16" i="37"/>
  <c r="K16" i="37" s="1"/>
  <c r="I36" i="37"/>
  <c r="J36" i="37" l="1"/>
  <c r="K36" i="37" s="1"/>
  <c r="Q36" i="37"/>
  <c r="I34" i="37"/>
  <c r="I32" i="37"/>
  <c r="Q32" i="37" l="1"/>
  <c r="J32" i="37"/>
  <c r="K32" i="37" s="1"/>
  <c r="Q34" i="37"/>
  <c r="J34" i="37"/>
  <c r="K34" i="37" s="1"/>
  <c r="I23" i="37" l="1"/>
  <c r="I22" i="37"/>
  <c r="Q22" i="37" l="1"/>
  <c r="J22" i="37"/>
  <c r="K22" i="37" s="1"/>
  <c r="J23" i="37"/>
  <c r="K23" i="37" s="1"/>
  <c r="Q23" i="37"/>
  <c r="I78" i="37" l="1"/>
  <c r="J78" i="37" s="1"/>
  <c r="K78" i="37" s="1"/>
  <c r="G26" i="37" l="1"/>
  <c r="G25" i="37"/>
  <c r="G30" i="37"/>
  <c r="G28" i="37"/>
  <c r="G29" i="37"/>
  <c r="G27" i="37"/>
  <c r="E32" i="62" l="1"/>
  <c r="P29" i="37"/>
  <c r="Q29" i="37" s="1"/>
  <c r="E33" i="62"/>
  <c r="P30" i="37"/>
  <c r="Q30" i="37" s="1"/>
  <c r="E31" i="62"/>
  <c r="P28" i="37"/>
  <c r="Q28" i="37" s="1"/>
  <c r="E28" i="62"/>
  <c r="P25" i="37"/>
  <c r="E30" i="62"/>
  <c r="P27" i="37"/>
  <c r="Q27" i="37" s="1"/>
  <c r="E29" i="62"/>
  <c r="P26" i="37"/>
  <c r="Q26" i="37" s="1"/>
  <c r="G28" i="62" l="1"/>
  <c r="H28" i="62" s="1"/>
  <c r="G63" i="62"/>
  <c r="G69" i="62" l="1"/>
  <c r="H69" i="62" s="1"/>
  <c r="G64" i="62"/>
  <c r="J66" i="62"/>
  <c r="H63" i="62"/>
  <c r="I63" i="62" s="1"/>
  <c r="I28" i="62"/>
  <c r="I25" i="37"/>
  <c r="Q25" i="37" l="1"/>
  <c r="R30" i="37" s="1"/>
  <c r="J25" i="37"/>
  <c r="K25" i="37" s="1"/>
  <c r="I70" i="37"/>
  <c r="J70" i="37" s="1"/>
  <c r="K70" i="37" s="1"/>
  <c r="H64" i="62"/>
  <c r="G68" i="62"/>
  <c r="I18" i="37"/>
  <c r="G87" i="62" l="1"/>
  <c r="H87" i="62" s="1"/>
  <c r="I87" i="62" s="1"/>
  <c r="G89" i="62"/>
  <c r="G81" i="62"/>
  <c r="I64" i="62"/>
  <c r="H68" i="62"/>
  <c r="J18" i="37"/>
  <c r="K18" i="37" s="1"/>
  <c r="I19" i="37"/>
  <c r="I20" i="37" l="1"/>
  <c r="J20" i="37" s="1"/>
  <c r="K20" i="37" s="1"/>
  <c r="J19" i="37"/>
  <c r="H81" i="62"/>
  <c r="I81" i="62" s="1"/>
  <c r="I68" i="62"/>
  <c r="G85" i="62"/>
  <c r="H85" i="62" s="1"/>
  <c r="I85" i="62" s="1"/>
  <c r="G86" i="62"/>
  <c r="H86" i="62" s="1"/>
  <c r="I86" i="62" s="1"/>
  <c r="G91" i="62"/>
  <c r="H89" i="62"/>
  <c r="I49" i="37" l="1"/>
  <c r="I54" i="37" s="1"/>
  <c r="K19" i="37"/>
  <c r="J49" i="37"/>
  <c r="K49" i="37" s="1"/>
  <c r="H91" i="62"/>
  <c r="I91" i="62" s="1"/>
  <c r="I89" i="62"/>
  <c r="I50" i="37" l="1"/>
  <c r="J50" i="37" s="1"/>
  <c r="I77" i="37"/>
  <c r="I73" i="37"/>
  <c r="J73" i="37" s="1"/>
  <c r="K73" i="37" s="1"/>
  <c r="I75" i="37"/>
  <c r="J75" i="37" s="1"/>
  <c r="K75" i="37" s="1"/>
  <c r="I58" i="37" l="1"/>
  <c r="J58" i="37" s="1"/>
  <c r="K58" i="37" s="1"/>
  <c r="J77" i="37"/>
  <c r="I79" i="37"/>
  <c r="K50" i="37"/>
  <c r="J54" i="37"/>
  <c r="I60" i="37" l="1"/>
  <c r="J60" i="37" s="1"/>
  <c r="K60" i="37" s="1"/>
  <c r="K54" i="37"/>
  <c r="J79" i="37"/>
  <c r="K79" i="37" s="1"/>
  <c r="K77" i="37"/>
  <c r="I61" i="37" l="1"/>
  <c r="I62" i="37" s="1"/>
  <c r="J62" i="37" s="1"/>
  <c r="K62" i="37" l="1"/>
  <c r="I55" i="37" l="1"/>
  <c r="J55" i="37" l="1"/>
  <c r="I68" i="37"/>
  <c r="I74" i="37" l="1"/>
  <c r="J74" i="37" s="1"/>
  <c r="K74" i="37" s="1"/>
  <c r="I72" i="37"/>
  <c r="J72" i="37" s="1"/>
  <c r="K72" i="37" s="1"/>
  <c r="K66" i="37"/>
  <c r="J68" i="37"/>
  <c r="K68" i="3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Beatson Jacky</author>
  </authors>
  <commentList>
    <comment ref="H9" authorId="0" shapeId="0" xr:uid="{E9241782-9DF8-43ED-BE98-4DB5F4CA5AFB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Actual NOR occupying places at Oct census</t>
        </r>
      </text>
    </comment>
    <comment ref="I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Actual NOR occupying places at Oct census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Beatson Jacky</author>
  </authors>
  <commentList>
    <comment ref="H10" authorId="0" shapeId="0" xr:uid="{300217A4-923E-4E5C-8EF5-78A90C6F98F2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Actual NOR occupying places at Oct census</t>
        </r>
      </text>
    </comment>
    <comment ref="I10" authorId="0" shapeId="0" xr:uid="{4C34812B-74C4-42E1-924A-B4F7494A7BDB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Actual NOR occupying places at Oct census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Mansfield Helen</author>
  </authors>
  <commentList>
    <comment ref="J3" authorId="0" shapeId="0" xr:uid="{C45390CD-1FBC-4DFA-A472-F5FCDE16BE58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Excludes out of city
</t>
        </r>
      </text>
    </comment>
    <comment ref="C8" authorId="0" shapeId="0" xr:uid="{AF1798A5-7A03-4CB3-9F6D-ED8945218A94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spoke with data manager who checked with Head.  Expect to be at 100 by Easter
</t>
        </r>
      </text>
    </comment>
    <comment ref="N9" authorId="0" shapeId="0" xr:uid="{74874238-C6FB-470C-81C9-EEAD29784B1C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Information from Lisa Eyre</t>
        </r>
      </text>
    </comment>
    <comment ref="K13" authorId="0" shapeId="0" xr:uid="{F5F7C620-EEDE-4D81-AD93-17CBBAB94606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Confirmed by
 Jacky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Mansfield Helen</author>
  </authors>
  <commentList>
    <comment ref="G6" authorId="0" shapeId="0" xr:uid="{FD0386FC-3A04-4E09-A7A9-ED9EE66E2F36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just opened  needs funding for 10 places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Mansfield Helen</author>
  </authors>
  <commentList>
    <comment ref="T3" authorId="0" shapeId="0" xr:uid="{6CBF9EC5-B69E-4FDF-A7A0-44D8FC201C38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Taken from High Needs block and given to academies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Mansfield Helen</author>
  </authors>
  <commentList>
    <comment ref="B4" authorId="0" shapeId="0" xr:uid="{348C4330-D4E4-4B0D-8EB2-4AF43BA25023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different rate for each setting
</t>
        </r>
      </text>
    </comment>
    <comment ref="H11" authorId="0" shapeId="0" xr:uid="{9DEEDB59-2173-46D4-AE87-A22D53EB9317}">
      <text>
        <r>
          <rPr>
            <b/>
            <sz val="9"/>
            <color indexed="81"/>
            <rFont val="Tahoma"/>
            <family val="2"/>
          </rPr>
          <t>Mansfield Helen:</t>
        </r>
        <r>
          <rPr>
            <sz val="9"/>
            <color indexed="81"/>
            <rFont val="Tahoma"/>
            <family val="2"/>
          </rPr>
          <t xml:space="preserve">
Confirmed by
 Jacky
</t>
        </r>
      </text>
    </comment>
  </commentList>
</comments>
</file>

<file path=xl/sharedStrings.xml><?xml version="1.0" encoding="utf-8"?>
<sst xmlns="http://schemas.openxmlformats.org/spreadsheetml/2006/main" count="1223" uniqueCount="503">
  <si>
    <t>Pupil Numbers</t>
  </si>
  <si>
    <t>Funded FTEs</t>
  </si>
  <si>
    <t>Change</t>
  </si>
  <si>
    <t>FTEs</t>
  </si>
  <si>
    <t xml:space="preserve">%  </t>
  </si>
  <si>
    <t>Total Pupil Numbers</t>
  </si>
  <si>
    <t>Budget</t>
  </si>
  <si>
    <t>Ref. No.</t>
  </si>
  <si>
    <t xml:space="preserve">£   </t>
  </si>
  <si>
    <t>Rates</t>
  </si>
  <si>
    <t xml:space="preserve"> </t>
  </si>
  <si>
    <t>£ per pupil</t>
  </si>
  <si>
    <t>Budget Allocations</t>
  </si>
  <si>
    <t>Cash</t>
  </si>
  <si>
    <t>Advance</t>
  </si>
  <si>
    <t>Select this link to view budgets</t>
  </si>
  <si>
    <t xml:space="preserve">In case of difficulty please email a brief description of your problem to: </t>
  </si>
  <si>
    <r>
      <t>Council Revenue Funding Reports</t>
    </r>
    <r>
      <rPr>
        <sz val="12"/>
        <color indexed="8"/>
        <rFont val="Arial"/>
        <family val="2"/>
      </rPr>
      <t xml:space="preserve"> (Delegated Budget Shares)</t>
    </r>
  </si>
  <si>
    <t>finhelpdesk@sheffield.gov.uk</t>
  </si>
  <si>
    <t>Return to First Page of File</t>
  </si>
  <si>
    <t>Angram Bank Primary School</t>
  </si>
  <si>
    <t>Anns Grove Primary School</t>
  </si>
  <si>
    <t>Ballifield Primary School</t>
  </si>
  <si>
    <t>Brightside Nursery and Infant School</t>
  </si>
  <si>
    <t>Carfield Primary School</t>
  </si>
  <si>
    <t>Gleadless Primary School</t>
  </si>
  <si>
    <t>Halfway Nursery Infant School</t>
  </si>
  <si>
    <t>Meersbrook Bank Primary School</t>
  </si>
  <si>
    <t>Netherthorpe Primary School</t>
  </si>
  <si>
    <t>Pipworth Community Primary School</t>
  </si>
  <si>
    <t>Prince Edward Primary School</t>
  </si>
  <si>
    <t>Reignhead Primary School</t>
  </si>
  <si>
    <t>Rivelin Primary School</t>
  </si>
  <si>
    <t>Shooter's Grove Primary School</t>
  </si>
  <si>
    <t>Springfield Primary School</t>
  </si>
  <si>
    <t>St Theresa's Catholic Primary School</t>
  </si>
  <si>
    <t>Stocksbridge Nursery Infant School</t>
  </si>
  <si>
    <t>Stradbroke Primary School</t>
  </si>
  <si>
    <t>Walkley Primary School</t>
  </si>
  <si>
    <t>Westways Primary School</t>
  </si>
  <si>
    <t>Wharncliffe Side Primary School</t>
  </si>
  <si>
    <t>Woodhouse West Primary School</t>
  </si>
  <si>
    <t>Woodseats Primary School</t>
  </si>
  <si>
    <t>Primary School Budgets</t>
  </si>
  <si>
    <t>Secondary School Budgets</t>
  </si>
  <si>
    <t>To view budgets: please select  links below as required</t>
  </si>
  <si>
    <t>Basic £/pupil Entitlement</t>
  </si>
  <si>
    <t>Primary</t>
  </si>
  <si>
    <t>Social Deprivation</t>
  </si>
  <si>
    <t>Mobility</t>
  </si>
  <si>
    <t>High Incidence SEN</t>
  </si>
  <si>
    <t>English as an Add. Language (EAL)</t>
  </si>
  <si>
    <t>EAL Pupils 3 yrs</t>
  </si>
  <si>
    <t>Lump Sum</t>
  </si>
  <si>
    <t>Split Sites (local formula - 13-14)</t>
  </si>
  <si>
    <t>Rates (2013-14)</t>
  </si>
  <si>
    <t>PFI (2013-14)</t>
  </si>
  <si>
    <t>Maximum £/pupil Gain Cap</t>
  </si>
  <si>
    <t>Minimum Funding Guarantee (MFG)</t>
  </si>
  <si>
    <t xml:space="preserve">Unit </t>
  </si>
  <si>
    <t>Of which is de-delegated</t>
  </si>
  <si>
    <t>Additional Delegation (included above)</t>
  </si>
  <si>
    <t>Budget Share (Schools Block) S251</t>
  </si>
  <si>
    <t xml:space="preserve">TOTAL FUNDS DELEGATED BY THE LEA </t>
  </si>
  <si>
    <t>TOTAL FUNDS DE-DELEGATED</t>
  </si>
  <si>
    <r>
      <t xml:space="preserve">TOTAL FUNDS CASH ADVANCED BY THE LEA - </t>
    </r>
    <r>
      <rPr>
        <b/>
        <sz val="11"/>
        <rFont val="Times New Roman"/>
        <family val="1"/>
      </rPr>
      <t>I01</t>
    </r>
  </si>
  <si>
    <t>Unit Value</t>
  </si>
  <si>
    <t>£/pupil</t>
  </si>
  <si>
    <t>FSM</t>
  </si>
  <si>
    <t>(IDACI - Income Deprivation Affecting</t>
  </si>
  <si>
    <t>Children Index)</t>
  </si>
  <si>
    <t>King Ecgbert School</t>
  </si>
  <si>
    <t>Notional SEN Funding</t>
  </si>
  <si>
    <t>KS3</t>
  </si>
  <si>
    <t>KS4</t>
  </si>
  <si>
    <t>Base Funding</t>
  </si>
  <si>
    <t>Back to Main Menu</t>
  </si>
  <si>
    <t>I01</t>
  </si>
  <si>
    <t>I03</t>
  </si>
  <si>
    <t>I05</t>
  </si>
  <si>
    <t xml:space="preserve">SEN FUNDING - REVENUE </t>
  </si>
  <si>
    <t>Pupil Premium (national grant)</t>
  </si>
  <si>
    <t>Split Sites (local formula)</t>
  </si>
  <si>
    <t>PFI Affordability Gap</t>
  </si>
  <si>
    <t>Capped at:</t>
  </si>
  <si>
    <t>Abbey Lane Primary School</t>
  </si>
  <si>
    <t>Athelstan Primary School</t>
  </si>
  <si>
    <t>Birley Spa Community Primary</t>
  </si>
  <si>
    <t>Broomhill Infant School</t>
  </si>
  <si>
    <t>Dobcroft Infant School</t>
  </si>
  <si>
    <t>Dobcroft Junior School</t>
  </si>
  <si>
    <t>Dore Primary School</t>
  </si>
  <si>
    <t>Ecclesfield Primary School</t>
  </si>
  <si>
    <t>Halfway Junior School</t>
  </si>
  <si>
    <t>High Green Primary School</t>
  </si>
  <si>
    <t>Hunter's Bar Infant School</t>
  </si>
  <si>
    <t>Intake Primary School</t>
  </si>
  <si>
    <t>Limpsfield Junior School</t>
  </si>
  <si>
    <t>Loxley Primary School</t>
  </si>
  <si>
    <t>Lydgate Infant School</t>
  </si>
  <si>
    <t>Lydgate Junior School</t>
  </si>
  <si>
    <t>Mosborough Primary School</t>
  </si>
  <si>
    <t>Mundella Primary School</t>
  </si>
  <si>
    <t>Nether Green Infant School</t>
  </si>
  <si>
    <t>Nether Green Junior School</t>
  </si>
  <si>
    <t>Nook Lane Junior School</t>
  </si>
  <si>
    <t>Pye Bank CofE Primary School</t>
  </si>
  <si>
    <t>Stannington Infant School</t>
  </si>
  <si>
    <t>Stocksbridge Junior School</t>
  </si>
  <si>
    <t>Whiteways Primary School</t>
  </si>
  <si>
    <t>Recoupment Academy</t>
  </si>
  <si>
    <t>School</t>
  </si>
  <si>
    <t>Ref</t>
  </si>
  <si>
    <t>OEO</t>
  </si>
  <si>
    <t>DfE</t>
  </si>
  <si>
    <t>Pr DfE</t>
  </si>
  <si>
    <t>Status</t>
  </si>
  <si>
    <t>Mobility - Pupils Affected Above</t>
  </si>
  <si>
    <t>Minimum Funding Guarantee (MFG) £/pupil</t>
  </si>
  <si>
    <t>Pupil Number Change</t>
  </si>
  <si>
    <t xml:space="preserve">£     </t>
  </si>
  <si>
    <t>£ per Pupil</t>
  </si>
  <si>
    <t>Less:</t>
  </si>
  <si>
    <t>Other Exemptions</t>
  </si>
  <si>
    <t>-</t>
  </si>
  <si>
    <t>A</t>
  </si>
  <si>
    <t>B</t>
  </si>
  <si>
    <t>% Change in MFG per Pupil</t>
  </si>
  <si>
    <t>x % Change required to meet threshold</t>
  </si>
  <si>
    <t>x</t>
  </si>
  <si>
    <t>MFG Allocation or Gains Cap</t>
  </si>
  <si>
    <t>= C</t>
  </si>
  <si>
    <t>B + C</t>
  </si>
  <si>
    <t>Secondary</t>
  </si>
  <si>
    <r>
      <t xml:space="preserve">Total Funding </t>
    </r>
    <r>
      <rPr>
        <b/>
        <sz val="12"/>
        <rFont val="Times New Roman"/>
        <family val="1"/>
      </rPr>
      <t>(I01+I03+IO5)</t>
    </r>
  </si>
  <si>
    <t>Malin Bridge Primary School</t>
  </si>
  <si>
    <t>King Edward VII School</t>
  </si>
  <si>
    <t>Hinde House 3-16 School</t>
  </si>
  <si>
    <t>£ per pupil (excl Rates, PFI)</t>
  </si>
  <si>
    <t>URN</t>
  </si>
  <si>
    <t>Prev DfE</t>
  </si>
  <si>
    <t>Phase</t>
  </si>
  <si>
    <t>Oasis Academy Don Valley</t>
  </si>
  <si>
    <t>Prior Attain</t>
  </si>
  <si>
    <t>Total</t>
  </si>
  <si>
    <t>Beighton Nursery Infant School</t>
  </si>
  <si>
    <t>Special Schools</t>
  </si>
  <si>
    <t>Integrated Resource Top Up Funding - High Needs Block</t>
  </si>
  <si>
    <t>No. of Places</t>
  </si>
  <si>
    <t>Funded Places</t>
  </si>
  <si>
    <t>Top Up Funding</t>
  </si>
  <si>
    <t>LAESTAB</t>
  </si>
  <si>
    <t>School Name</t>
  </si>
  <si>
    <t>Academy Type</t>
  </si>
  <si>
    <r>
      <t xml:space="preserve">£ per pupil </t>
    </r>
    <r>
      <rPr>
        <b/>
        <sz val="8"/>
        <color indexed="9"/>
        <rFont val="Arial"/>
        <family val="2"/>
      </rPr>
      <t>(excl , rates, pfi, pup premium)</t>
    </r>
  </si>
  <si>
    <t>2018-19</t>
  </si>
  <si>
    <t>Arbourthorne Community Primary School</t>
  </si>
  <si>
    <t>Bankwood Community Primary School</t>
  </si>
  <si>
    <t>Bradfield Dungworth Primary School</t>
  </si>
  <si>
    <t>Bradway Primary School</t>
  </si>
  <si>
    <t>Brunswick Community Primary School</t>
  </si>
  <si>
    <t>Carter Knowle Junior School</t>
  </si>
  <si>
    <t>Coit Primary School</t>
  </si>
  <si>
    <t>Deepcar St John's Church of England Junior School</t>
  </si>
  <si>
    <t>Fox Hill Primary</t>
  </si>
  <si>
    <t>Grenoside Community Primary School</t>
  </si>
  <si>
    <t>Greystones Primary School</t>
  </si>
  <si>
    <t>Holt House Infant School</t>
  </si>
  <si>
    <t>Hunter's Bar Junior School</t>
  </si>
  <si>
    <t>Lowfield Community Primary School</t>
  </si>
  <si>
    <t>Marlcliffe Community Primary School</t>
  </si>
  <si>
    <t>Norton Free Church of England Primary School</t>
  </si>
  <si>
    <t>Oughtibridge Primary School</t>
  </si>
  <si>
    <t>Owler Brook Primary School</t>
  </si>
  <si>
    <t>Parson Cross Church of England Primary School</t>
  </si>
  <si>
    <t>Royd Nursery and Infant School</t>
  </si>
  <si>
    <t>Sharrow Nursery, Infant and Junior School</t>
  </si>
  <si>
    <t>Shortbrook Primary School</t>
  </si>
  <si>
    <t>Totley All Saints Church of England Voluntary Aided Primary School</t>
  </si>
  <si>
    <t>Watercliffe Meadow Community Primary School</t>
  </si>
  <si>
    <t>Waterthorpe Infant School</t>
  </si>
  <si>
    <t>Woodthorpe Primary School</t>
  </si>
  <si>
    <t>The Birley Academy</t>
  </si>
  <si>
    <t>Reception - Year 6 (including IR Pupils)</t>
  </si>
  <si>
    <t>IDACI Band A</t>
  </si>
  <si>
    <t>IDACI Band B</t>
  </si>
  <si>
    <t>IDACI Band C</t>
  </si>
  <si>
    <t>IDACI Band D</t>
  </si>
  <si>
    <t>IDACI Band E</t>
  </si>
  <si>
    <t>IDACI Band F</t>
  </si>
  <si>
    <t>Integrated Resource Base Funding - High Needs Block (excl. pupil led)</t>
  </si>
  <si>
    <t>of which are IR Pupils</t>
  </si>
  <si>
    <t>LEA Estab</t>
  </si>
  <si>
    <t>informed EFA</t>
  </si>
  <si>
    <t>Currently Placed or Committed</t>
  </si>
  <si>
    <t>Places funded Sept  to March</t>
  </si>
  <si>
    <t>Element 1 Places Funded through the School Block</t>
  </si>
  <si>
    <t>Element 1      Paid through the School Block                    £</t>
  </si>
  <si>
    <t xml:space="preserve">Element 1      Places that Need Funding      </t>
  </si>
  <si>
    <t>Element 1      Funding      (LA)                      £</t>
  </si>
  <si>
    <t>Element 2            (EFA)              £</t>
  </si>
  <si>
    <t>Element 2            (LA)              £</t>
  </si>
  <si>
    <t>Element 3             LA              £</t>
  </si>
  <si>
    <t>Total Funding     High Needs Block               £</t>
  </si>
  <si>
    <r>
      <t xml:space="preserve">Funding Per Pupil    </t>
    </r>
    <r>
      <rPr>
        <b/>
        <sz val="8"/>
        <color theme="1"/>
        <rFont val="Arial"/>
        <family val="2"/>
      </rPr>
      <t xml:space="preserve"> (School Block)     </t>
    </r>
    <r>
      <rPr>
        <b/>
        <sz val="11"/>
        <color theme="1"/>
        <rFont val="Arial"/>
        <family val="2"/>
      </rPr>
      <t xml:space="preserve">                             £</t>
    </r>
  </si>
  <si>
    <t>April - Aug</t>
  </si>
  <si>
    <t>Sept - March</t>
  </si>
  <si>
    <t>All  Saints Catholic</t>
  </si>
  <si>
    <t xml:space="preserve">Arbourthorne Community Primary </t>
  </si>
  <si>
    <t xml:space="preserve">Forge Valley Community </t>
  </si>
  <si>
    <t xml:space="preserve">Nether Green Junior </t>
  </si>
  <si>
    <t xml:space="preserve">Nook Lane Junior </t>
  </si>
  <si>
    <t>St. Thomas of Canterbury Catholic Primary</t>
  </si>
  <si>
    <t xml:space="preserve">Wharncliffe Side Primary </t>
  </si>
  <si>
    <t xml:space="preserve">Total </t>
  </si>
  <si>
    <t>2017/18 budget to Forum</t>
  </si>
  <si>
    <t>Budget Reduction from High Needs 2017/18 at £10k</t>
  </si>
  <si>
    <t>2018/18</t>
  </si>
  <si>
    <t>School Block</t>
  </si>
  <si>
    <t>Needs Funding from High Needs</t>
  </si>
  <si>
    <t>Budget Reduction from High Needs 2018/19 at £6k</t>
  </si>
  <si>
    <t>Integrated Resource Funding - Included in Schools Block above</t>
  </si>
  <si>
    <r>
      <t>Pupil Premium (</t>
    </r>
    <r>
      <rPr>
        <b/>
        <sz val="10"/>
        <color rgb="FFFF0000"/>
        <rFont val="Arial"/>
        <family val="2"/>
      </rPr>
      <t>estimated</t>
    </r>
    <r>
      <rPr>
        <sz val="10"/>
        <rFont val="Arial"/>
        <family val="2"/>
      </rPr>
      <t xml:space="preserve"> until verified in June 2018 by EFA)</t>
    </r>
  </si>
  <si>
    <t>Key Stage 3 Pupils</t>
  </si>
  <si>
    <t>Key Stage 4 Pupils</t>
  </si>
  <si>
    <t>Gains Capped at:</t>
  </si>
  <si>
    <t>Minimum Funding Level - new factor</t>
  </si>
  <si>
    <t>2019-20</t>
  </si>
  <si>
    <t>April 2019</t>
  </si>
  <si>
    <t>Sept 2019</t>
  </si>
  <si>
    <t>Clifford All Saints CofE Primary School</t>
  </si>
  <si>
    <t xml:space="preserve"> - Income Deprivation Affecting Children Index</t>
  </si>
  <si>
    <t>IDACI</t>
  </si>
  <si>
    <t>Set at:</t>
  </si>
  <si>
    <t>Total Funding Due                          £</t>
  </si>
  <si>
    <t>Total IR Funding  (School Block and High Needs Block)           £</t>
  </si>
  <si>
    <t>Pupil Led Funding from Schools Block</t>
  </si>
  <si>
    <t>Total Funding</t>
  </si>
  <si>
    <t>Top Up Funding - Cash Adv</t>
  </si>
  <si>
    <t>Top Up Funding - BACS Acad</t>
  </si>
  <si>
    <t>maintained</t>
  </si>
  <si>
    <t>Academy</t>
  </si>
  <si>
    <t>Primary Academy</t>
  </si>
  <si>
    <t>Secondary Academy</t>
  </si>
  <si>
    <t>Teacher Pay Grant</t>
  </si>
  <si>
    <t>(7/12ths paid in 2018-19)</t>
  </si>
  <si>
    <t>Other Funding                       £</t>
  </si>
  <si>
    <t>Total Funding             £</t>
  </si>
  <si>
    <t>Top Up</t>
  </si>
  <si>
    <t>Becton and Kenwood</t>
  </si>
  <si>
    <t>Bents Green School</t>
  </si>
  <si>
    <t>Heritage Park Community School</t>
  </si>
  <si>
    <t>Holgate Meadows Community Special School</t>
  </si>
  <si>
    <t>Mossbrook School</t>
  </si>
  <si>
    <t>Norfolk Park School</t>
  </si>
  <si>
    <t>Seven Hills School</t>
  </si>
  <si>
    <t>Talbot Specialist School</t>
  </si>
  <si>
    <t>The Rowan School</t>
  </si>
  <si>
    <t>Woolley Wood School</t>
  </si>
  <si>
    <t>Sheffield Inclusion Centre</t>
  </si>
  <si>
    <t>Astrea Academy Sheffield</t>
  </si>
  <si>
    <t>Primary Pupils</t>
  </si>
  <si>
    <t>FSM Pri</t>
  </si>
  <si>
    <t>FSM Sec</t>
  </si>
  <si>
    <t>ICACI - Primary</t>
  </si>
  <si>
    <t>IDACI - Secondary</t>
  </si>
  <si>
    <t>Prior Attain - Sec</t>
  </si>
  <si>
    <t>Prior Attain - Pri</t>
  </si>
  <si>
    <t>EAL - Pri</t>
  </si>
  <si>
    <t>EAL - Sec</t>
  </si>
  <si>
    <t>Pri - Threshold &gt;10%</t>
  </si>
  <si>
    <t>Sec - Threshold &gt;10%</t>
  </si>
  <si>
    <t>Maintained Schools -</t>
  </si>
  <si>
    <t>3-16 Through Schools Revenue Funding Analysis 2019-20</t>
  </si>
  <si>
    <t>Total Primary</t>
  </si>
  <si>
    <t>Total Secondary</t>
  </si>
  <si>
    <t>Middle Deemed Secondary</t>
  </si>
  <si>
    <t>Total Middle Deemed Secondary</t>
  </si>
  <si>
    <t>Ever6</t>
  </si>
  <si>
    <t>Budget Share before Minimum Funding Guarantee (exc. IRs &amp; Post 16)</t>
  </si>
  <si>
    <t>Abbeyfield Primary Academy</t>
  </si>
  <si>
    <t>Acres Hill Community Primary School</t>
  </si>
  <si>
    <t>Beck Primary School</t>
  </si>
  <si>
    <t>Birley Primary Academy</t>
  </si>
  <si>
    <t>Birley Spa Primary Academy</t>
  </si>
  <si>
    <t>Byron Wood Primary Academy</t>
  </si>
  <si>
    <t>Charnock Hall Primary Academy</t>
  </si>
  <si>
    <t>Concord Junior School</t>
  </si>
  <si>
    <t>Emmanuel Anglican/Methodist Junior School</t>
  </si>
  <si>
    <t>Emmaus Catholic and CofE Primary School</t>
  </si>
  <si>
    <t>Greengate Lane Academy</t>
  </si>
  <si>
    <t>Greenhill Primary School</t>
  </si>
  <si>
    <t>Hallam Primary School</t>
  </si>
  <si>
    <t>Hartley Brook Primary School</t>
  </si>
  <si>
    <t>Hatfield Academy</t>
  </si>
  <si>
    <t>High Hazels Junior School</t>
  </si>
  <si>
    <t>High Hazels Nursery Infant Academy</t>
  </si>
  <si>
    <t>Hillsborough Primary School</t>
  </si>
  <si>
    <t>Hucklow Primary School</t>
  </si>
  <si>
    <t>Lound Infant School</t>
  </si>
  <si>
    <t>Lound Junior School</t>
  </si>
  <si>
    <t>Lowedges Junior Academy</t>
  </si>
  <si>
    <t>Lower Meadow Primary School</t>
  </si>
  <si>
    <t>Manor Lodge Community Primary and Nursery School</t>
  </si>
  <si>
    <t>Mansel Primary</t>
  </si>
  <si>
    <t>Meynell Community Primary School</t>
  </si>
  <si>
    <t>Monteney Primary School</t>
  </si>
  <si>
    <t>Nether Edge Primary School</t>
  </si>
  <si>
    <t>Norfolk Community Primary School</t>
  </si>
  <si>
    <t>Oasis Academy Fir Vale</t>
  </si>
  <si>
    <t>Oasis Academy Watermead</t>
  </si>
  <si>
    <t>Phillimore Community Primary School</t>
  </si>
  <si>
    <t>Porter Croft Church of England Primary Academy</t>
  </si>
  <si>
    <t>Rainbow Forge Primary Academy</t>
  </si>
  <si>
    <t>Sacred Heart School, A Catholic Voluntary Academy</t>
  </si>
  <si>
    <t>Southey Green Primary School and Nurseries</t>
  </si>
  <si>
    <t>St Ann's Catholic Primary School, A Voluntary Academy</t>
  </si>
  <si>
    <t>St John Fisher Primary, A Catholic Voluntary Academy</t>
  </si>
  <si>
    <t>St Joseph's Primary School</t>
  </si>
  <si>
    <t>St Marie's School, A Catholic Voluntary Academy</t>
  </si>
  <si>
    <t>St Mary's Church of England Primary School</t>
  </si>
  <si>
    <t>St Mary's Primary School, A Catholic Voluntary Academy</t>
  </si>
  <si>
    <t>St Patrick's Catholic Voluntary Academy</t>
  </si>
  <si>
    <t>St Thomas More Catholic Primary, A Voluntary Academy</t>
  </si>
  <si>
    <t>St Thomas of Canterbury School, a Catholic Voluntary Academy</t>
  </si>
  <si>
    <t>St Wilfrid's Catholic Primary School</t>
  </si>
  <si>
    <t>Tinsley Meadows Primary School</t>
  </si>
  <si>
    <t>Totley Primary School</t>
  </si>
  <si>
    <t>Wincobank Nursery and Infant School</t>
  </si>
  <si>
    <t>Windmill Hill Primary School</t>
  </si>
  <si>
    <t>Wisewood Community Primary School</t>
  </si>
  <si>
    <t>Wybourn Community Primary &amp; Nursery School</t>
  </si>
  <si>
    <t>All Saints' Catholic High School</t>
  </si>
  <si>
    <t>Bradfield School</t>
  </si>
  <si>
    <t>Chaucer School</t>
  </si>
  <si>
    <t>Ecclesfield School</t>
  </si>
  <si>
    <t>Fir Vale School</t>
  </si>
  <si>
    <t>Firth Park Academy</t>
  </si>
  <si>
    <t>Forge Valley School</t>
  </si>
  <si>
    <t>Handsworth Grange Community Sports College</t>
  </si>
  <si>
    <t>High Storrs School</t>
  </si>
  <si>
    <t>Meadowhead School Academy Trust</t>
  </si>
  <si>
    <t>Mercia School</t>
  </si>
  <si>
    <t>Newfield Secondary School</t>
  </si>
  <si>
    <t>Notre Dame High School</t>
  </si>
  <si>
    <t>Outwood Academy City</t>
  </si>
  <si>
    <t>Sheffield Park Academy</t>
  </si>
  <si>
    <t>Sheffield Springs Academy</t>
  </si>
  <si>
    <t>Silverdale School</t>
  </si>
  <si>
    <t>Stocksbridge High School</t>
  </si>
  <si>
    <t>Tapton School</t>
  </si>
  <si>
    <t>UTC Sheffield Olympic Legacy Park</t>
  </si>
  <si>
    <t>Westfield School</t>
  </si>
  <si>
    <t>Yewlands Academy</t>
  </si>
  <si>
    <t>All-through</t>
  </si>
  <si>
    <t>Threshold &gt;6%</t>
  </si>
  <si>
    <t xml:space="preserve">Minimum Funding Level </t>
  </si>
  <si>
    <t>April - August   (Sheffield Places)</t>
  </si>
  <si>
    <t>Average Sheffield Places</t>
  </si>
  <si>
    <t>2020/21 funding rate              £</t>
  </si>
  <si>
    <t>Total Funding                £</t>
  </si>
  <si>
    <t>2021-22</t>
  </si>
  <si>
    <t xml:space="preserve">TOTAL FUNDS INCLUDING PAY &amp; PENSION DELEGATED BY THE LEA </t>
  </si>
  <si>
    <r>
      <t xml:space="preserve">£ per pupil </t>
    </r>
    <r>
      <rPr>
        <b/>
        <sz val="8"/>
        <rFont val="Arial"/>
        <family val="2"/>
      </rPr>
      <t>(excl , rates, pfi, pup premium)</t>
    </r>
  </si>
  <si>
    <r>
      <rPr>
        <b/>
        <sz val="11"/>
        <rFont val="Arial"/>
        <family val="2"/>
      </rPr>
      <t xml:space="preserve">£ per pupil (MFG baseline protected level) </t>
    </r>
    <r>
      <rPr>
        <b/>
        <sz val="9"/>
        <rFont val="Arial"/>
        <family val="2"/>
      </rPr>
      <t>Budget Share incl. grants less Rates/Lump Sum</t>
    </r>
  </si>
  <si>
    <t>Sub-total Base Entitlement/MFL/Grants £</t>
  </si>
  <si>
    <t>74259</t>
  </si>
  <si>
    <t>Split Sites</t>
  </si>
  <si>
    <t>PFI</t>
  </si>
  <si>
    <t>Ecclesall Primary School</t>
  </si>
  <si>
    <t>St Catherine's Catholic Primary School (Hallam)</t>
  </si>
  <si>
    <t>Special School Budgets at February 2021</t>
  </si>
  <si>
    <t>Top ups  Reduced for Out of City Placements                          £</t>
  </si>
  <si>
    <t>Integrated Resource Budgets</t>
  </si>
  <si>
    <t>Minimum Funding Guarantee Breakdown</t>
  </si>
  <si>
    <t>Funded places</t>
  </si>
  <si>
    <t>No. of places</t>
  </si>
  <si>
    <t>2022-23</t>
  </si>
  <si>
    <t>Sub-total Base Entitlement/MPPFL £</t>
  </si>
  <si>
    <t>Minimum Per Pupil Funding Level</t>
  </si>
  <si>
    <t>NEW - Sparsity (for small rural schools)</t>
  </si>
  <si>
    <t>Sparsity</t>
  </si>
  <si>
    <r>
      <t>Pupil Premium (</t>
    </r>
    <r>
      <rPr>
        <b/>
        <sz val="10"/>
        <color rgb="FFFF0000"/>
        <rFont val="Arial"/>
        <family val="2"/>
      </rPr>
      <t>estimated</t>
    </r>
    <r>
      <rPr>
        <sz val="10"/>
        <rFont val="Arial"/>
        <family val="2"/>
      </rPr>
      <t xml:space="preserve"> until verified by ESFA)</t>
    </r>
  </si>
  <si>
    <t>TOTAL FUNDS DE-DELEGATED (Includes School Improvement)</t>
  </si>
  <si>
    <t>Per Pupil Funding
£</t>
  </si>
  <si>
    <t>Funding Per Place
£</t>
  </si>
  <si>
    <t>Total Funding
£</t>
  </si>
  <si>
    <t>Base Funding
£</t>
  </si>
  <si>
    <t>Top Up (in School Budget)
£</t>
  </si>
  <si>
    <t>Top Up (High Needs Block)
£</t>
  </si>
  <si>
    <t>Beck</t>
  </si>
  <si>
    <t>Manor Lodge</t>
  </si>
  <si>
    <t>Places from Out of City
£</t>
  </si>
  <si>
    <t>Base Funding  SCC
£</t>
  </si>
  <si>
    <t>Top Up Paid by Sheffield
£</t>
  </si>
  <si>
    <t>Cost excl out of city</t>
  </si>
  <si>
    <t>Budget 2022/23</t>
  </si>
  <si>
    <t>Indicative IR Budgets 2021/22</t>
  </si>
  <si>
    <t>** I use these so if you move the columns let me know!!*** JB</t>
  </si>
  <si>
    <t>Places funded April  to August</t>
  </si>
  <si>
    <t>Places funded for full 21-22 financial year</t>
  </si>
  <si>
    <t>2021 / 22 rate                £</t>
  </si>
  <si>
    <t>Per Pupil Funding                  £</t>
  </si>
  <si>
    <t>Funded From the School Block                            £</t>
  </si>
  <si>
    <t>Empty Places at October</t>
  </si>
  <si>
    <t>Occupied Places</t>
  </si>
  <si>
    <t>Pupil Number October 2021</t>
  </si>
  <si>
    <t>2022-23 MFG Total</t>
  </si>
  <si>
    <t>% Change Required to meet MFG Threshold &gt;0.05% or Gains Cap</t>
  </si>
  <si>
    <r>
      <t xml:space="preserve">Ecclesall Infant Junior School </t>
    </r>
    <r>
      <rPr>
        <sz val="10"/>
        <color rgb="FFFF0000"/>
        <rFont val="Arial"/>
        <family val="2"/>
      </rPr>
      <t>- see other sheet</t>
    </r>
  </si>
  <si>
    <t>Brook House Junior</t>
  </si>
  <si>
    <t>E-ACT Pathways Academy</t>
  </si>
  <si>
    <t>UTC Sheffield City Centre</t>
  </si>
  <si>
    <t>Total All Schools</t>
  </si>
  <si>
    <t xml:space="preserve">TOTAL FUNDS (LESS 2022-23 RATES) DELEGATED BY THE LEA </t>
  </si>
  <si>
    <t>Schools List</t>
  </si>
  <si>
    <t>Primary, Secondary and Special</t>
  </si>
  <si>
    <t>Delegated Budget Shares 2023-24</t>
  </si>
  <si>
    <t>Sheffield Indicative Maintained School Budgets for Financial Year 2023-24</t>
  </si>
  <si>
    <t>Maintained Primary School Revenue Funding Analysis 2023-24</t>
  </si>
  <si>
    <t>2023-24</t>
  </si>
  <si>
    <t>Integrated Resources 2023/2024</t>
  </si>
  <si>
    <r>
      <rPr>
        <b/>
        <sz val="11"/>
        <color rgb="FFFF0000"/>
        <rFont val="Arial"/>
        <family val="2"/>
      </rPr>
      <t>do not move JB numbers</t>
    </r>
    <r>
      <rPr>
        <b/>
        <sz val="11"/>
        <rFont val="Arial"/>
        <family val="2"/>
      </rPr>
      <t xml:space="preserve">
IR Places at OCT 2022</t>
    </r>
  </si>
  <si>
    <t>Hucklow</t>
  </si>
  <si>
    <t>Whiteways</t>
  </si>
  <si>
    <t>Academy - Primary</t>
  </si>
  <si>
    <t>Academy - Secondary</t>
  </si>
  <si>
    <t>1 post 16 place</t>
  </si>
  <si>
    <t>1 post 16 place but already funded above number</t>
  </si>
  <si>
    <t>Places at April 23</t>
  </si>
  <si>
    <t>Places at Sept 23</t>
  </si>
  <si>
    <t>Supplementary Grant 2022-23 (now rolled into DSG from April 2023)</t>
  </si>
  <si>
    <t>Place Change Notification Process Places</t>
  </si>
  <si>
    <t>Deduction from High Needs Block</t>
  </si>
  <si>
    <t>April - Aug Deducted through the GAG</t>
  </si>
  <si>
    <t>Sept  - March Deducted through the GAG</t>
  </si>
  <si>
    <t>total GAG Payment</t>
  </si>
  <si>
    <t>to be funded from DSG</t>
  </si>
  <si>
    <t>21-22 Places Occupied</t>
  </si>
  <si>
    <t>21-22 Places Non Occupied</t>
  </si>
  <si>
    <t>22-23 Places Occupied</t>
  </si>
  <si>
    <t>22-23 Places Non Occupied</t>
  </si>
  <si>
    <t>21-22 Places Occupied x 5/12</t>
  </si>
  <si>
    <t>21-22 Places Non Occupied x 5/12</t>
  </si>
  <si>
    <t>22-23 Places Occupied x 7/12</t>
  </si>
  <si>
    <t>22-23 Places Non Occupied x 7/12</t>
  </si>
  <si>
    <t>SB/GAG Funding</t>
  </si>
  <si>
    <t>Funding Required from LA</t>
  </si>
  <si>
    <t>Maintained</t>
  </si>
  <si>
    <t>check to HM</t>
  </si>
  <si>
    <t>Helens A4 Sheet (Apr-Aug)</t>
  </si>
  <si>
    <t>BACS raised Jul 22</t>
  </si>
  <si>
    <t>check</t>
  </si>
  <si>
    <t>Helens A4 Sheet (Sep-Mar)</t>
  </si>
  <si>
    <t>Var</t>
  </si>
  <si>
    <t>July BACS</t>
  </si>
  <si>
    <t>Cash Advance</t>
  </si>
  <si>
    <t>JB approved 22/7/22</t>
  </si>
  <si>
    <t>HM raised PWI 15/7/22</t>
  </si>
  <si>
    <t>April 2023</t>
  </si>
  <si>
    <t>Sept 2023</t>
  </si>
  <si>
    <t>Pupil Premium &amp; Other Grants (national grant)</t>
  </si>
  <si>
    <r>
      <rPr>
        <b/>
        <sz val="11"/>
        <color rgb="FFFF0000"/>
        <rFont val="Arial"/>
        <family val="2"/>
      </rPr>
      <t xml:space="preserve">Estimated: </t>
    </r>
    <r>
      <rPr>
        <sz val="11"/>
        <rFont val="Arial"/>
        <family val="2"/>
      </rPr>
      <t>Mainstream Schools Additional Grant (MSAG) new grant from April 2023)</t>
    </r>
  </si>
  <si>
    <t>Maintained Secondary School Revenue Funding Analysis 2023-24</t>
  </si>
  <si>
    <t>Woodlands Primary School</t>
  </si>
  <si>
    <t>Parkwood E-ACT Academy</t>
  </si>
  <si>
    <t>Hinde House 2-16 School</t>
  </si>
  <si>
    <r>
      <t xml:space="preserve">Rates (final for 2022-23, DfE set estimate for 23-24) - </t>
    </r>
    <r>
      <rPr>
        <i/>
        <sz val="8"/>
        <rFont val="Arial"/>
        <family val="2"/>
      </rPr>
      <t>schools need to account for, but not included in cash advance</t>
    </r>
  </si>
  <si>
    <t>tbc</t>
  </si>
  <si>
    <t>Special School Budgets 2023/24 at February 2023</t>
  </si>
  <si>
    <t xml:space="preserve">                                                 Place Numbers April to August</t>
  </si>
  <si>
    <t xml:space="preserve">                                                 Place Numbers Sept to March</t>
  </si>
  <si>
    <t>Average Numbers</t>
  </si>
  <si>
    <t>2023/24 funding rate              £</t>
  </si>
  <si>
    <t>Base and Top Up                £</t>
  </si>
  <si>
    <t>2023/24 TPG + TPECG @
£660 per place</t>
  </si>
  <si>
    <t>Specialist Additional Grant 
£</t>
  </si>
  <si>
    <t>Archdale School</t>
  </si>
  <si>
    <t>Becton</t>
  </si>
  <si>
    <t>Discovery Academy</t>
  </si>
  <si>
    <t>Kenwood</t>
  </si>
  <si>
    <t>Increase (ESFA Calc)</t>
  </si>
  <si>
    <t>Budget 2023/24</t>
  </si>
  <si>
    <r>
      <t>Minimum Funding Guarantee Allocation</t>
    </r>
    <r>
      <rPr>
        <sz val="10"/>
        <rFont val="Arial"/>
      </rPr>
      <t/>
    </r>
  </si>
  <si>
    <t>Minimum Funding Guarantee/Gains Cap 2023-24</t>
  </si>
  <si>
    <t>Pupil Number October 2022</t>
  </si>
  <si>
    <t>Calculation of Guaranteed Funding Level 2022-23</t>
  </si>
  <si>
    <t>Budget Share 2022-23 (exc. Post 16)</t>
  </si>
  <si>
    <t>2023-24 Lump Sum</t>
  </si>
  <si>
    <t>Other Exemptions (Supplementary Grant)</t>
  </si>
  <si>
    <t>Add:</t>
  </si>
  <si>
    <t>Rates, PFI &amp; Sparsity</t>
  </si>
  <si>
    <r>
      <t xml:space="preserve">Calculation of Adjusted Budget Share 2023-24 </t>
    </r>
    <r>
      <rPr>
        <i/>
        <sz val="11"/>
        <rFont val="Times New Roman"/>
        <family val="1"/>
      </rPr>
      <t>(before MFG/Gains Cap)</t>
    </r>
  </si>
  <si>
    <t>Adjusted 2223 £ per pupil</t>
  </si>
  <si>
    <t>2023-24 MFG Total</t>
  </si>
  <si>
    <t xml:space="preserve">2023-24 MFG Budget £ per Pupil </t>
  </si>
  <si>
    <t>x 2023-24 NOR</t>
  </si>
  <si>
    <t>Adjusted Budget Share 2023-24 including MFG/Gains Cap allocation</t>
  </si>
  <si>
    <r>
      <t>Change from 2022-23</t>
    </r>
    <r>
      <rPr>
        <sz val="10"/>
        <rFont val="Arial"/>
      </rPr>
      <t xml:space="preserve"> </t>
    </r>
    <r>
      <rPr>
        <i/>
        <sz val="11"/>
        <rFont val="Times New Roman"/>
        <family val="1"/>
      </rPr>
      <t>(E - A)</t>
    </r>
  </si>
  <si>
    <r>
      <t>Date:</t>
    </r>
    <r>
      <rPr>
        <sz val="18"/>
        <rFont val="Arial"/>
        <family val="2"/>
      </rPr>
      <t xml:space="preserve"> 24th February 2023</t>
    </r>
  </si>
  <si>
    <t>Service:  Education &amp; Skills, Business Planning</t>
  </si>
  <si>
    <t>Children &amp; Schools</t>
  </si>
  <si>
    <t>Schools Resourcing Strategy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</si>
</sst>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.0"/>
    <numFmt numFmtId="165" formatCode="0.0"/>
    <numFmt numFmtId="166" formatCode="0.0%"/>
    <numFmt numFmtId="167" formatCode="_-* #,##0_-;\-* #,##0_-;_-* &quot;-&quot;??_-;_-@_-"/>
    <numFmt numFmtId="168" formatCode="_(* #,##0.00_);_(* \(#,##0.00\);_(* &quot;-&quot;??_);_(@_)"/>
    <numFmt numFmtId="169" formatCode="00000"/>
    <numFmt numFmtId="170" formatCode="mmm\-yyyy"/>
    <numFmt numFmtId="171" formatCode="#,##0_ ;[Red]\-#,##0\ "/>
    <numFmt numFmtId="172" formatCode="&quot;£&quot;#,##0"/>
  </numFmts>
  <fonts count="1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sz val="10"/>
      <name val="Courier"/>
      <family val="3"/>
    </font>
    <font>
      <sz val="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sz val="10"/>
      <name val="Arial"/>
      <family val="2"/>
    </font>
    <font>
      <sz val="4"/>
      <name val="Arial"/>
      <family val="2"/>
    </font>
    <font>
      <b/>
      <sz val="4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26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u/>
      <sz val="22"/>
      <color indexed="12"/>
      <name val="Arial"/>
      <family val="2"/>
    </font>
    <font>
      <b/>
      <u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i/>
      <sz val="11"/>
      <name val="Times New Roman"/>
      <family val="1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8"/>
      <color rgb="FFFF0000"/>
      <name val="Arial"/>
      <family val="2"/>
    </font>
    <font>
      <i/>
      <sz val="9"/>
      <color rgb="FFFF000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theme="7" tint="-0.249977111117893"/>
      <name val="Arial"/>
      <family val="2"/>
    </font>
    <font>
      <i/>
      <sz val="8"/>
      <color theme="7"/>
      <name val="Arial"/>
      <family val="2"/>
    </font>
    <font>
      <sz val="10"/>
      <color theme="3"/>
      <name val="Arial"/>
      <family val="2"/>
    </font>
    <font>
      <sz val="6"/>
      <color theme="0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10"/>
      <color theme="3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00FF"/>
      <name val="Arial"/>
      <family val="2"/>
    </font>
    <font>
      <b/>
      <sz val="8"/>
      <color rgb="FFFF00FF"/>
      <name val="Arial"/>
      <family val="2"/>
    </font>
    <font>
      <b/>
      <i/>
      <sz val="8"/>
      <color rgb="FFFF00FF"/>
      <name val="Arial"/>
      <family val="2"/>
    </font>
    <font>
      <b/>
      <sz val="4"/>
      <color rgb="FFFF00FF"/>
      <name val="Arial"/>
      <family val="2"/>
    </font>
    <font>
      <b/>
      <i/>
      <sz val="8"/>
      <color theme="6"/>
      <name val="Arial"/>
      <family val="2"/>
    </font>
    <font>
      <i/>
      <sz val="10"/>
      <color rgb="FFFF0000"/>
      <name val="Arial"/>
      <family val="2"/>
    </font>
    <font>
      <sz val="11"/>
      <color theme="1"/>
      <name val="Arial"/>
      <family val="2"/>
    </font>
    <font>
      <b/>
      <u/>
      <sz val="16"/>
      <color theme="1"/>
      <name val="Arial"/>
      <family val="2"/>
    </font>
    <font>
      <i/>
      <sz val="8"/>
      <color theme="3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color theme="6" tint="-0.499984740745262"/>
      <name val="Arial"/>
      <family val="2"/>
    </font>
    <font>
      <b/>
      <i/>
      <sz val="8"/>
      <color rgb="FFFF0000"/>
      <name val="Arial"/>
      <family val="2"/>
    </font>
    <font>
      <i/>
      <sz val="10"/>
      <color theme="4"/>
      <name val="Arial"/>
      <family val="2"/>
    </font>
    <font>
      <i/>
      <sz val="12"/>
      <color theme="4"/>
      <name val="Arial"/>
      <family val="2"/>
    </font>
    <font>
      <i/>
      <sz val="4"/>
      <color theme="4"/>
      <name val="Arial"/>
      <family val="2"/>
    </font>
    <font>
      <b/>
      <sz val="8"/>
      <name val="Arial"/>
      <family val="2"/>
    </font>
    <font>
      <i/>
      <sz val="10"/>
      <color theme="5"/>
      <name val="Arial"/>
      <family val="2"/>
    </font>
    <font>
      <i/>
      <sz val="11"/>
      <color theme="1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rgb="FFFF0000"/>
      <name val="Arial"/>
      <family val="2"/>
    </font>
    <font>
      <b/>
      <u/>
      <sz val="26"/>
      <color theme="1"/>
      <name val="Arial"/>
      <family val="2"/>
    </font>
    <font>
      <b/>
      <u/>
      <sz val="12"/>
      <color rgb="FFFF0000"/>
      <name val="Arial"/>
      <family val="2"/>
    </font>
    <font>
      <b/>
      <sz val="12"/>
      <color theme="1"/>
      <name val="Arial"/>
      <family val="2"/>
    </font>
    <font>
      <sz val="6"/>
      <color rgb="FF92D050"/>
      <name val="Arial"/>
      <family val="2"/>
    </font>
    <font>
      <b/>
      <sz val="11"/>
      <color rgb="FFFF0000"/>
      <name val="Arial"/>
      <family val="2"/>
    </font>
    <font>
      <sz val="14"/>
      <color theme="1"/>
      <name val="Calibri"/>
      <family val="2"/>
      <scheme val="minor"/>
    </font>
    <font>
      <i/>
      <sz val="4"/>
      <name val="Arial"/>
      <family val="2"/>
    </font>
    <font>
      <i/>
      <sz val="9"/>
      <color theme="5"/>
      <name val="Arial"/>
      <family val="2"/>
    </font>
    <font>
      <sz val="12"/>
      <color rgb="FFFF0000"/>
      <name val="Arial"/>
      <family val="2"/>
    </font>
    <font>
      <b/>
      <sz val="9"/>
      <name val="Arial"/>
      <family val="2"/>
    </font>
    <font>
      <b/>
      <sz val="11.5"/>
      <name val="Arial"/>
      <family val="2"/>
    </font>
    <font>
      <sz val="8"/>
      <color theme="0"/>
      <name val="Arial"/>
      <family val="2"/>
    </font>
    <font>
      <b/>
      <i/>
      <sz val="8"/>
      <name val="Arial"/>
      <family val="2"/>
    </font>
    <font>
      <sz val="6"/>
      <color rgb="FFFF0000"/>
      <name val="Arial"/>
      <family val="2"/>
    </font>
    <font>
      <b/>
      <i/>
      <sz val="10"/>
      <color theme="6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sz val="11"/>
      <color rgb="FFFF0000"/>
      <name val="Arial"/>
      <family val="2"/>
    </font>
    <font>
      <b/>
      <u/>
      <sz val="12"/>
      <color theme="1"/>
      <name val="Arial"/>
      <family val="2"/>
    </font>
    <font>
      <u/>
      <sz val="22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01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3" borderId="0" applyNumberFormat="0" applyBorder="0" applyAlignment="0" applyProtection="0"/>
    <xf numFmtId="0" fontId="46" fillId="20" borderId="1" applyNumberFormat="0" applyAlignment="0" applyProtection="0"/>
    <xf numFmtId="0" fontId="47" fillId="21" borderId="2" applyNumberFormat="0" applyAlignment="0" applyProtection="0"/>
    <xf numFmtId="0" fontId="48" fillId="0" borderId="0" applyNumberFormat="0" applyFill="0" applyBorder="0" applyAlignment="0" applyProtection="0"/>
    <xf numFmtId="0" fontId="49" fillId="4" borderId="0" applyNumberFormat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3" fillId="7" borderId="1" applyNumberFormat="0" applyAlignment="0" applyProtection="0"/>
    <xf numFmtId="0" fontId="54" fillId="0" borderId="6" applyNumberFormat="0" applyFill="0" applyAlignment="0" applyProtection="0"/>
    <xf numFmtId="0" fontId="55" fillId="22" borderId="0" applyNumberFormat="0" applyBorder="0" applyAlignment="0" applyProtection="0"/>
    <xf numFmtId="0" fontId="11" fillId="0" borderId="0"/>
    <xf numFmtId="37" fontId="13" fillId="0" borderId="0"/>
    <xf numFmtId="0" fontId="11" fillId="23" borderId="7" applyNumberFormat="0" applyFont="0" applyAlignment="0" applyProtection="0"/>
    <xf numFmtId="3" fontId="14" fillId="0" borderId="0">
      <alignment horizontal="right"/>
    </xf>
    <xf numFmtId="0" fontId="56" fillId="20" borderId="8" applyNumberFormat="0" applyAlignment="0" applyProtection="0"/>
    <xf numFmtId="9" fontId="1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3" fillId="0" borderId="0"/>
    <xf numFmtId="0" fontId="11" fillId="0" borderId="0"/>
    <xf numFmtId="0" fontId="67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43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" fillId="0" borderId="0"/>
    <xf numFmtId="0" fontId="67" fillId="0" borderId="0"/>
    <xf numFmtId="0" fontId="75" fillId="0" borderId="0"/>
    <xf numFmtId="0" fontId="8" fillId="0" borderId="0"/>
    <xf numFmtId="0" fontId="8" fillId="0" borderId="0"/>
    <xf numFmtId="0" fontId="85" fillId="0" borderId="0"/>
    <xf numFmtId="9" fontId="11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43" fontId="7" fillId="0" borderId="0" applyFont="0" applyFill="0" applyBorder="0" applyAlignment="0" applyProtection="0"/>
    <xf numFmtId="0" fontId="7" fillId="0" borderId="0"/>
    <xf numFmtId="0" fontId="75" fillId="0" borderId="0"/>
    <xf numFmtId="0" fontId="75" fillId="0" borderId="0"/>
    <xf numFmtId="0" fontId="75" fillId="0" borderId="0"/>
    <xf numFmtId="0" fontId="6" fillId="0" borderId="0"/>
    <xf numFmtId="44" fontId="6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781">
    <xf numFmtId="0" fontId="0" fillId="0" borderId="0" xfId="0"/>
    <xf numFmtId="0" fontId="27" fillId="0" borderId="0" xfId="0" applyFont="1" applyAlignment="1">
      <alignment horizontal="left"/>
    </xf>
    <xf numFmtId="0" fontId="28" fillId="0" borderId="0" xfId="0" applyFont="1"/>
    <xf numFmtId="0" fontId="21" fillId="0" borderId="21" xfId="38" applyFont="1" applyFill="1" applyBorder="1" applyAlignment="1">
      <alignment vertical="center"/>
    </xf>
    <xf numFmtId="0" fontId="21" fillId="0" borderId="0" xfId="38" applyFont="1" applyFill="1" applyBorder="1" applyAlignment="1">
      <alignment vertical="center"/>
    </xf>
    <xf numFmtId="0" fontId="21" fillId="0" borderId="22" xfId="38" applyFont="1" applyFill="1" applyBorder="1" applyAlignment="1">
      <alignment vertical="center"/>
    </xf>
    <xf numFmtId="0" fontId="21" fillId="26" borderId="21" xfId="38" applyFont="1" applyFill="1" applyBorder="1" applyAlignment="1">
      <alignment vertical="center"/>
    </xf>
    <xf numFmtId="0" fontId="21" fillId="26" borderId="22" xfId="38" applyFont="1" applyFill="1" applyBorder="1" applyAlignment="1">
      <alignment vertical="center"/>
    </xf>
    <xf numFmtId="0" fontId="29" fillId="27" borderId="0" xfId="0" applyFont="1" applyFill="1"/>
    <xf numFmtId="0" fontId="0" fillId="27" borderId="0" xfId="0" applyFill="1"/>
    <xf numFmtId="0" fontId="12" fillId="27" borderId="0" xfId="34" applyFont="1" applyFill="1" applyAlignment="1" applyProtection="1"/>
    <xf numFmtId="0" fontId="12" fillId="27" borderId="0" xfId="34" applyFill="1" applyAlignment="1" applyProtection="1"/>
    <xf numFmtId="0" fontId="31" fillId="27" borderId="0" xfId="34" applyFont="1" applyFill="1" applyAlignment="1" applyProtection="1"/>
    <xf numFmtId="0" fontId="18" fillId="27" borderId="0" xfId="0" applyFont="1" applyFill="1"/>
    <xf numFmtId="0" fontId="32" fillId="27" borderId="0" xfId="0" applyFont="1" applyFill="1"/>
    <xf numFmtId="0" fontId="60" fillId="28" borderId="0" xfId="38" applyFont="1" applyFill="1" applyBorder="1" applyAlignment="1">
      <alignment vertical="center"/>
    </xf>
    <xf numFmtId="0" fontId="11" fillId="0" borderId="0" xfId="47" applyBorder="1"/>
    <xf numFmtId="0" fontId="11" fillId="0" borderId="0" xfId="39" applyNumberFormat="1" applyFont="1" applyAlignment="1" applyProtection="1">
      <alignment horizontal="left"/>
      <protection locked="0"/>
    </xf>
    <xf numFmtId="0" fontId="33" fillId="29" borderId="21" xfId="38" applyFont="1" applyFill="1" applyBorder="1" applyAlignment="1">
      <alignment vertical="center"/>
    </xf>
    <xf numFmtId="0" fontId="33" fillId="29" borderId="22" xfId="38" applyFont="1" applyFill="1" applyBorder="1" applyAlignment="1">
      <alignment vertical="center"/>
    </xf>
    <xf numFmtId="0" fontId="11" fillId="0" borderId="0" xfId="39" applyNumberFormat="1" applyFont="1" applyAlignment="1" applyProtection="1">
      <alignment horizontal="center"/>
      <protection locked="0"/>
    </xf>
    <xf numFmtId="3" fontId="41" fillId="0" borderId="0" xfId="38" applyNumberFormat="1" applyFont="1" applyFill="1" applyBorder="1" applyAlignment="1">
      <alignment horizontal="right"/>
    </xf>
    <xf numFmtId="3" fontId="11" fillId="0" borderId="0" xfId="38" applyNumberFormat="1" applyFont="1" applyFill="1" applyBorder="1" applyAlignment="1">
      <alignment horizontal="right"/>
    </xf>
    <xf numFmtId="3" fontId="11" fillId="0" borderId="0" xfId="38" applyNumberFormat="1" applyFont="1" applyBorder="1" applyAlignment="1">
      <alignment horizontal="right"/>
    </xf>
    <xf numFmtId="3" fontId="11" fillId="0" borderId="0" xfId="47" applyNumberFormat="1" applyAlignment="1">
      <alignment horizontal="left"/>
    </xf>
    <xf numFmtId="3" fontId="15" fillId="0" borderId="0" xfId="47" applyNumberFormat="1" applyFont="1"/>
    <xf numFmtId="3" fontId="11" fillId="0" borderId="0" xfId="47" applyNumberFormat="1" applyFont="1"/>
    <xf numFmtId="3" fontId="16" fillId="0" borderId="0" xfId="47" applyNumberFormat="1" applyFont="1"/>
    <xf numFmtId="3" fontId="11" fillId="0" borderId="0" xfId="47" applyNumberFormat="1"/>
    <xf numFmtId="3" fontId="17" fillId="0" borderId="0" xfId="47" applyNumberFormat="1" applyFont="1" applyBorder="1" applyAlignment="1">
      <alignment horizontal="left"/>
    </xf>
    <xf numFmtId="3" fontId="35" fillId="0" borderId="20" xfId="47" applyNumberFormat="1" applyFont="1" applyBorder="1" applyAlignment="1">
      <alignment horizontal="left"/>
    </xf>
    <xf numFmtId="3" fontId="35" fillId="0" borderId="0" xfId="47" applyNumberFormat="1" applyFont="1" applyAlignment="1">
      <alignment horizontal="left"/>
    </xf>
    <xf numFmtId="3" fontId="17" fillId="0" borderId="0" xfId="47" applyNumberFormat="1" applyFont="1"/>
    <xf numFmtId="3" fontId="11" fillId="24" borderId="11" xfId="47" applyNumberFormat="1" applyFill="1" applyBorder="1"/>
    <xf numFmtId="1" fontId="11" fillId="24" borderId="11" xfId="47" applyNumberFormat="1" applyFont="1" applyFill="1" applyBorder="1" applyAlignment="1">
      <alignment horizontal="right"/>
    </xf>
    <xf numFmtId="1" fontId="16" fillId="24" borderId="11" xfId="47" applyNumberFormat="1" applyFont="1" applyFill="1" applyBorder="1" applyAlignment="1">
      <alignment horizontal="center"/>
    </xf>
    <xf numFmtId="3" fontId="24" fillId="26" borderId="28" xfId="47" applyNumberFormat="1" applyFont="1" applyFill="1" applyBorder="1"/>
    <xf numFmtId="3" fontId="24" fillId="26" borderId="25" xfId="47" applyNumberFormat="1" applyFont="1" applyFill="1" applyBorder="1"/>
    <xf numFmtId="3" fontId="35" fillId="26" borderId="0" xfId="47" applyNumberFormat="1" applyFont="1" applyFill="1" applyBorder="1"/>
    <xf numFmtId="3" fontId="35" fillId="26" borderId="16" xfId="47" applyNumberFormat="1" applyFont="1" applyFill="1" applyBorder="1"/>
    <xf numFmtId="3" fontId="16" fillId="0" borderId="13" xfId="47" applyNumberFormat="1" applyFont="1" applyBorder="1" applyAlignment="1">
      <alignment horizontal="right"/>
    </xf>
    <xf numFmtId="3" fontId="24" fillId="26" borderId="15" xfId="47" applyNumberFormat="1" applyFont="1" applyFill="1" applyBorder="1"/>
    <xf numFmtId="3" fontId="24" fillId="26" borderId="0" xfId="47" applyNumberFormat="1" applyFont="1" applyFill="1" applyBorder="1"/>
    <xf numFmtId="3" fontId="24" fillId="26" borderId="16" xfId="47" applyNumberFormat="1" applyFont="1" applyFill="1" applyBorder="1"/>
    <xf numFmtId="4" fontId="11" fillId="0" borderId="13" xfId="47" applyNumberFormat="1" applyFont="1" applyFill="1" applyBorder="1" applyAlignment="1">
      <alignment horizontal="right"/>
    </xf>
    <xf numFmtId="4" fontId="11" fillId="28" borderId="13" xfId="47" applyNumberFormat="1" applyFont="1" applyFill="1" applyBorder="1" applyAlignment="1">
      <alignment horizontal="right"/>
    </xf>
    <xf numFmtId="164" fontId="11" fillId="28" borderId="13" xfId="47" applyNumberFormat="1" applyFont="1" applyFill="1" applyBorder="1" applyAlignment="1">
      <alignment horizontal="right"/>
    </xf>
    <xf numFmtId="3" fontId="24" fillId="26" borderId="20" xfId="47" applyNumberFormat="1" applyFont="1" applyFill="1" applyBorder="1"/>
    <xf numFmtId="3" fontId="24" fillId="26" borderId="24" xfId="47" applyNumberFormat="1" applyFont="1" applyFill="1" applyBorder="1"/>
    <xf numFmtId="4" fontId="16" fillId="0" borderId="13" xfId="47" applyNumberFormat="1" applyFont="1" applyBorder="1" applyAlignment="1">
      <alignment horizontal="right"/>
    </xf>
    <xf numFmtId="164" fontId="16" fillId="0" borderId="13" xfId="47" applyNumberFormat="1" applyFont="1" applyBorder="1" applyAlignment="1">
      <alignment horizontal="right"/>
    </xf>
    <xf numFmtId="3" fontId="24" fillId="26" borderId="23" xfId="47" applyNumberFormat="1" applyFont="1" applyFill="1" applyBorder="1"/>
    <xf numFmtId="3" fontId="24" fillId="26" borderId="24" xfId="47" applyNumberFormat="1" applyFont="1" applyFill="1" applyBorder="1" applyAlignment="1">
      <alignment horizontal="right"/>
    </xf>
    <xf numFmtId="3" fontId="11" fillId="0" borderId="13" xfId="47" applyNumberFormat="1" applyBorder="1" applyAlignment="1">
      <alignment horizontal="right"/>
    </xf>
    <xf numFmtId="0" fontId="19" fillId="0" borderId="0" xfId="47" applyFont="1" applyBorder="1"/>
    <xf numFmtId="0" fontId="19" fillId="0" borderId="25" xfId="47" applyFont="1" applyBorder="1"/>
    <xf numFmtId="3" fontId="19" fillId="0" borderId="0" xfId="47" applyNumberFormat="1" applyFont="1"/>
    <xf numFmtId="3" fontId="20" fillId="0" borderId="0" xfId="47" applyNumberFormat="1" applyFont="1"/>
    <xf numFmtId="0" fontId="19" fillId="0" borderId="16" xfId="47" applyFont="1" applyBorder="1"/>
    <xf numFmtId="3" fontId="11" fillId="0" borderId="0" xfId="47" applyNumberFormat="1" applyFont="1" applyBorder="1" applyAlignment="1">
      <alignment horizontal="right"/>
    </xf>
    <xf numFmtId="3" fontId="16" fillId="0" borderId="0" xfId="47" applyNumberFormat="1" applyFont="1" applyBorder="1" applyAlignment="1">
      <alignment horizontal="right"/>
    </xf>
    <xf numFmtId="164" fontId="11" fillId="0" borderId="0" xfId="47" applyNumberFormat="1" applyFont="1" applyAlignment="1">
      <alignment horizontal="right"/>
    </xf>
    <xf numFmtId="165" fontId="14" fillId="0" borderId="0" xfId="47" applyNumberFormat="1" applyFont="1" applyAlignment="1">
      <alignment horizontal="right"/>
    </xf>
    <xf numFmtId="4" fontId="11" fillId="0" borderId="16" xfId="47" applyNumberFormat="1" applyFill="1" applyBorder="1"/>
    <xf numFmtId="3" fontId="11" fillId="0" borderId="0" xfId="47" applyNumberFormat="1" applyFont="1" applyFill="1" applyBorder="1" applyAlignment="1">
      <alignment horizontal="right"/>
    </xf>
    <xf numFmtId="3" fontId="16" fillId="0" borderId="0" xfId="47" applyNumberFormat="1" applyFont="1" applyFill="1" applyBorder="1" applyAlignment="1">
      <alignment horizontal="right"/>
    </xf>
    <xf numFmtId="164" fontId="11" fillId="0" borderId="0" xfId="47" applyNumberFormat="1" applyFont="1" applyFill="1" applyAlignment="1">
      <alignment horizontal="right"/>
    </xf>
    <xf numFmtId="3" fontId="69" fillId="0" borderId="0" xfId="47" applyNumberFormat="1" applyFont="1"/>
    <xf numFmtId="9" fontId="0" fillId="0" borderId="0" xfId="43" applyFont="1"/>
    <xf numFmtId="4" fontId="11" fillId="0" borderId="16" xfId="47" applyNumberFormat="1" applyBorder="1"/>
    <xf numFmtId="3" fontId="41" fillId="0" borderId="16" xfId="47" applyNumberFormat="1" applyFont="1" applyFill="1" applyBorder="1" applyAlignment="1">
      <alignment horizontal="right"/>
    </xf>
    <xf numFmtId="3" fontId="40" fillId="0" borderId="0" xfId="47" applyNumberFormat="1" applyFont="1" applyFill="1"/>
    <xf numFmtId="164" fontId="41" fillId="0" borderId="0" xfId="47" applyNumberFormat="1" applyFont="1" applyFill="1" applyAlignment="1">
      <alignment horizontal="right"/>
    </xf>
    <xf numFmtId="3" fontId="40" fillId="0" borderId="0" xfId="47" applyNumberFormat="1" applyFont="1"/>
    <xf numFmtId="3" fontId="70" fillId="0" borderId="16" xfId="47" applyNumberFormat="1" applyFont="1" applyFill="1" applyBorder="1" applyAlignment="1">
      <alignment horizontal="right"/>
    </xf>
    <xf numFmtId="3" fontId="40" fillId="0" borderId="0" xfId="47" applyNumberFormat="1" applyFont="1" applyFill="1" applyBorder="1" applyAlignment="1">
      <alignment horizontal="right"/>
    </xf>
    <xf numFmtId="0" fontId="41" fillId="0" borderId="0" xfId="47" applyFont="1" applyBorder="1"/>
    <xf numFmtId="3" fontId="41" fillId="0" borderId="0" xfId="47" applyNumberFormat="1" applyFont="1" applyFill="1"/>
    <xf numFmtId="1" fontId="11" fillId="0" borderId="0" xfId="47" applyNumberFormat="1" applyFill="1" applyBorder="1"/>
    <xf numFmtId="3" fontId="62" fillId="0" borderId="0" xfId="47" applyNumberFormat="1" applyFont="1"/>
    <xf numFmtId="0" fontId="11" fillId="0" borderId="0" xfId="47" applyFill="1" applyBorder="1"/>
    <xf numFmtId="0" fontId="11" fillId="0" borderId="16" xfId="47" applyFill="1" applyBorder="1"/>
    <xf numFmtId="3" fontId="22" fillId="0" borderId="0" xfId="47" applyNumberFormat="1" applyFont="1" applyFill="1" applyAlignment="1">
      <alignment vertical="top"/>
    </xf>
    <xf numFmtId="2" fontId="11" fillId="0" borderId="0" xfId="47" applyNumberFormat="1" applyFill="1" applyBorder="1"/>
    <xf numFmtId="3" fontId="22" fillId="0" borderId="0" xfId="47" applyNumberFormat="1" applyFont="1" applyAlignment="1">
      <alignment vertical="top"/>
    </xf>
    <xf numFmtId="2" fontId="11" fillId="0" borderId="16" xfId="47" applyNumberFormat="1" applyFont="1" applyFill="1" applyBorder="1" applyAlignment="1"/>
    <xf numFmtId="3" fontId="22" fillId="0" borderId="0" xfId="47" applyNumberFormat="1" applyFont="1" applyFill="1" applyAlignment="1">
      <alignment horizontal="right" vertical="top"/>
    </xf>
    <xf numFmtId="0" fontId="11" fillId="0" borderId="0" xfId="47" applyFont="1" applyFill="1" applyBorder="1"/>
    <xf numFmtId="43" fontId="11" fillId="0" borderId="16" xfId="47" applyNumberFormat="1" applyFill="1" applyBorder="1"/>
    <xf numFmtId="3" fontId="16" fillId="0" borderId="0" xfId="47" applyNumberFormat="1" applyFont="1" applyFill="1" applyAlignment="1">
      <alignment horizontal="right"/>
    </xf>
    <xf numFmtId="0" fontId="11" fillId="0" borderId="16" xfId="47" applyBorder="1"/>
    <xf numFmtId="3" fontId="24" fillId="26" borderId="21" xfId="47" applyNumberFormat="1" applyFont="1" applyFill="1" applyBorder="1" applyAlignment="1">
      <alignment horizontal="right"/>
    </xf>
    <xf numFmtId="164" fontId="24" fillId="26" borderId="22" xfId="47" applyNumberFormat="1" applyFont="1" applyFill="1" applyBorder="1" applyAlignment="1">
      <alignment horizontal="right"/>
    </xf>
    <xf numFmtId="0" fontId="11" fillId="0" borderId="0" xfId="47" applyFont="1" applyBorder="1"/>
    <xf numFmtId="0" fontId="11" fillId="0" borderId="16" xfId="47" applyFont="1" applyBorder="1"/>
    <xf numFmtId="165" fontId="11" fillId="0" borderId="0" xfId="47" applyNumberFormat="1" applyFont="1" applyAlignment="1">
      <alignment horizontal="right"/>
    </xf>
    <xf numFmtId="3" fontId="19" fillId="0" borderId="0" xfId="47" applyNumberFormat="1" applyFont="1" applyAlignment="1">
      <alignment horizontal="left"/>
    </xf>
    <xf numFmtId="3" fontId="16" fillId="0" borderId="13" xfId="47" quotePrefix="1" applyNumberFormat="1" applyFont="1" applyFill="1" applyBorder="1" applyAlignment="1">
      <alignment horizontal="center"/>
    </xf>
    <xf numFmtId="3" fontId="11" fillId="0" borderId="0" xfId="47" applyNumberFormat="1" applyFont="1" applyFill="1"/>
    <xf numFmtId="3" fontId="11" fillId="0" borderId="0" xfId="47" applyNumberFormat="1" applyFill="1"/>
    <xf numFmtId="3" fontId="11" fillId="0" borderId="0" xfId="47" applyNumberFormat="1" applyFill="1" applyBorder="1"/>
    <xf numFmtId="3" fontId="11" fillId="0" borderId="16" xfId="47" applyNumberFormat="1" applyBorder="1"/>
    <xf numFmtId="3" fontId="22" fillId="0" borderId="0" xfId="47" applyNumberFormat="1" applyFont="1" applyAlignment="1">
      <alignment horizontal="right" vertical="top"/>
    </xf>
    <xf numFmtId="3" fontId="24" fillId="26" borderId="26" xfId="47" applyNumberFormat="1" applyFont="1" applyFill="1" applyBorder="1" applyAlignment="1">
      <alignment horizontal="right"/>
    </xf>
    <xf numFmtId="3" fontId="35" fillId="0" borderId="30" xfId="47" applyNumberFormat="1" applyFont="1" applyFill="1" applyBorder="1" applyAlignment="1">
      <alignment horizontal="right"/>
    </xf>
    <xf numFmtId="3" fontId="24" fillId="0" borderId="0" xfId="47" applyNumberFormat="1" applyFont="1" applyFill="1" applyBorder="1" applyAlignment="1">
      <alignment horizontal="right"/>
    </xf>
    <xf numFmtId="165" fontId="24" fillId="0" borderId="0" xfId="47" applyNumberFormat="1" applyFont="1" applyFill="1" applyBorder="1" applyAlignment="1">
      <alignment horizontal="right"/>
    </xf>
    <xf numFmtId="0" fontId="11" fillId="0" borderId="0" xfId="47" applyFont="1" applyBorder="1" applyAlignment="1"/>
    <xf numFmtId="0" fontId="11" fillId="0" borderId="36" xfId="47" applyFont="1" applyBorder="1" applyAlignment="1"/>
    <xf numFmtId="3" fontId="24" fillId="26" borderId="26" xfId="47" applyNumberFormat="1" applyFont="1" applyFill="1" applyBorder="1"/>
    <xf numFmtId="3" fontId="24" fillId="26" borderId="21" xfId="47" applyNumberFormat="1" applyFont="1" applyFill="1" applyBorder="1"/>
    <xf numFmtId="0" fontId="19" fillId="0" borderId="0" xfId="47" applyFont="1"/>
    <xf numFmtId="3" fontId="23" fillId="29" borderId="26" xfId="47" applyNumberFormat="1" applyFont="1" applyFill="1" applyBorder="1"/>
    <xf numFmtId="3" fontId="23" fillId="29" borderId="21" xfId="47" applyNumberFormat="1" applyFont="1" applyFill="1" applyBorder="1"/>
    <xf numFmtId="3" fontId="23" fillId="29" borderId="21" xfId="47" applyNumberFormat="1" applyFont="1" applyFill="1" applyBorder="1" applyAlignment="1">
      <alignment horizontal="right"/>
    </xf>
    <xf numFmtId="164" fontId="23" fillId="29" borderId="22" xfId="47" applyNumberFormat="1" applyFont="1" applyFill="1" applyBorder="1" applyAlignment="1">
      <alignment horizontal="right"/>
    </xf>
    <xf numFmtId="3" fontId="11" fillId="0" borderId="0" xfId="47" applyNumberFormat="1" applyFill="1" applyAlignment="1">
      <alignment horizontal="left"/>
    </xf>
    <xf numFmtId="0" fontId="34" fillId="0" borderId="0" xfId="47" applyFont="1" applyFill="1" applyBorder="1" applyAlignment="1">
      <alignment vertical="center"/>
    </xf>
    <xf numFmtId="3" fontId="16" fillId="0" borderId="0" xfId="47" applyNumberFormat="1" applyFont="1" applyFill="1" applyBorder="1"/>
    <xf numFmtId="164" fontId="16" fillId="0" borderId="0" xfId="47" applyNumberFormat="1" applyFont="1" applyFill="1" applyBorder="1"/>
    <xf numFmtId="165" fontId="24" fillId="26" borderId="22" xfId="47" applyNumberFormat="1" applyFont="1" applyFill="1" applyBorder="1" applyAlignment="1">
      <alignment horizontal="right"/>
    </xf>
    <xf numFmtId="0" fontId="24" fillId="25" borderId="0" xfId="47" applyFont="1" applyFill="1" applyBorder="1"/>
    <xf numFmtId="0" fontId="23" fillId="25" borderId="0" xfId="47" applyFont="1" applyFill="1" applyBorder="1" applyAlignment="1">
      <alignment vertical="center"/>
    </xf>
    <xf numFmtId="3" fontId="24" fillId="25" borderId="0" xfId="47" applyNumberFormat="1" applyFont="1" applyFill="1"/>
    <xf numFmtId="164" fontId="24" fillId="25" borderId="0" xfId="47" applyNumberFormat="1" applyFont="1" applyFill="1"/>
    <xf numFmtId="0" fontId="19" fillId="25" borderId="0" xfId="47" applyFont="1" applyFill="1" applyBorder="1"/>
    <xf numFmtId="0" fontId="24" fillId="0" borderId="0" xfId="47" applyFont="1" applyFill="1" applyBorder="1"/>
    <xf numFmtId="0" fontId="19" fillId="0" borderId="0" xfId="47" applyFont="1" applyFill="1" applyBorder="1"/>
    <xf numFmtId="3" fontId="35" fillId="0" borderId="0" xfId="47" applyNumberFormat="1" applyFont="1" applyFill="1"/>
    <xf numFmtId="3" fontId="24" fillId="0" borderId="0" xfId="47" applyNumberFormat="1" applyFont="1" applyFill="1"/>
    <xf numFmtId="164" fontId="24" fillId="0" borderId="0" xfId="47" applyNumberFormat="1" applyFont="1" applyFill="1"/>
    <xf numFmtId="3" fontId="35" fillId="0" borderId="0" xfId="47" applyNumberFormat="1" applyFont="1" applyFill="1" applyBorder="1" applyAlignment="1">
      <alignment horizontal="right"/>
    </xf>
    <xf numFmtId="164" fontId="24" fillId="0" borderId="0" xfId="47" applyNumberFormat="1" applyFont="1" applyFill="1" applyBorder="1" applyAlignment="1">
      <alignment horizontal="right"/>
    </xf>
    <xf numFmtId="0" fontId="11" fillId="0" borderId="0" xfId="47" applyNumberFormat="1" applyAlignment="1">
      <alignment horizontal="center"/>
    </xf>
    <xf numFmtId="1" fontId="11" fillId="0" borderId="14" xfId="47" applyNumberFormat="1" applyBorder="1" applyAlignment="1">
      <alignment horizontal="left"/>
    </xf>
    <xf numFmtId="3" fontId="68" fillId="0" borderId="20" xfId="47" applyNumberFormat="1" applyFont="1" applyBorder="1" applyAlignment="1">
      <alignment horizontal="left"/>
    </xf>
    <xf numFmtId="3" fontId="12" fillId="0" borderId="0" xfId="34" applyNumberFormat="1" applyFill="1" applyBorder="1" applyAlignment="1" applyProtection="1">
      <alignment horizontal="center" vertical="center" wrapText="1"/>
    </xf>
    <xf numFmtId="2" fontId="11" fillId="0" borderId="16" xfId="47" applyNumberFormat="1" applyFill="1" applyBorder="1"/>
    <xf numFmtId="1" fontId="77" fillId="24" borderId="11" xfId="47" applyNumberFormat="1" applyFont="1" applyFill="1" applyBorder="1" applyAlignment="1">
      <alignment horizontal="center"/>
    </xf>
    <xf numFmtId="3" fontId="78" fillId="24" borderId="12" xfId="47" applyNumberFormat="1" applyFont="1" applyFill="1" applyBorder="1" applyAlignment="1">
      <alignment horizontal="center"/>
    </xf>
    <xf numFmtId="43" fontId="80" fillId="0" borderId="0" xfId="58" applyFont="1"/>
    <xf numFmtId="0" fontId="80" fillId="0" borderId="0" xfId="58" applyNumberFormat="1" applyFont="1"/>
    <xf numFmtId="4" fontId="11" fillId="0" borderId="13" xfId="0" applyNumberFormat="1" applyFont="1" applyFill="1" applyBorder="1" applyAlignment="1">
      <alignment horizontal="center"/>
    </xf>
    <xf numFmtId="3" fontId="11" fillId="0" borderId="13" xfId="47" applyNumberFormat="1" applyFont="1" applyBorder="1" applyAlignment="1">
      <alignment horizontal="right"/>
    </xf>
    <xf numFmtId="3" fontId="19" fillId="0" borderId="0" xfId="47" applyNumberFormat="1" applyFont="1" applyFill="1"/>
    <xf numFmtId="0" fontId="12" fillId="27" borderId="0" xfId="34" applyFill="1" applyBorder="1" applyAlignment="1" applyProtection="1"/>
    <xf numFmtId="0" fontId="16" fillId="0" borderId="0" xfId="64" applyFont="1"/>
    <xf numFmtId="0" fontId="68" fillId="0" borderId="0" xfId="64" applyFont="1"/>
    <xf numFmtId="3" fontId="79" fillId="0" borderId="0" xfId="47" applyNumberFormat="1" applyFont="1" applyFill="1" applyBorder="1" applyAlignment="1">
      <alignment horizontal="right"/>
    </xf>
    <xf numFmtId="3" fontId="83" fillId="0" borderId="0" xfId="47" applyNumberFormat="1" applyFont="1" applyFill="1" applyBorder="1" applyAlignment="1">
      <alignment horizontal="right"/>
    </xf>
    <xf numFmtId="3" fontId="79" fillId="0" borderId="0" xfId="47" applyNumberFormat="1" applyFont="1" applyFill="1" applyBorder="1"/>
    <xf numFmtId="0" fontId="79" fillId="0" borderId="0" xfId="58" applyNumberFormat="1" applyFont="1" applyFill="1" applyBorder="1"/>
    <xf numFmtId="4" fontId="79" fillId="0" borderId="0" xfId="47" applyNumberFormat="1" applyFont="1" applyFill="1" applyBorder="1"/>
    <xf numFmtId="3" fontId="86" fillId="0" borderId="0" xfId="47" applyNumberFormat="1" applyFont="1" applyFill="1" applyBorder="1" applyAlignment="1">
      <alignment horizontal="right"/>
    </xf>
    <xf numFmtId="3" fontId="86" fillId="0" borderId="0" xfId="47" applyNumberFormat="1" applyFont="1"/>
    <xf numFmtId="3" fontId="86" fillId="0" borderId="0" xfId="47" applyNumberFormat="1" applyFont="1" applyFill="1" applyBorder="1"/>
    <xf numFmtId="4" fontId="86" fillId="0" borderId="0" xfId="47" applyNumberFormat="1" applyFont="1" applyFill="1" applyBorder="1"/>
    <xf numFmtId="165" fontId="87" fillId="0" borderId="0" xfId="47" applyNumberFormat="1" applyFont="1" applyAlignment="1">
      <alignment horizontal="right"/>
    </xf>
    <xf numFmtId="3" fontId="88" fillId="0" borderId="0" xfId="47" applyNumberFormat="1" applyFont="1"/>
    <xf numFmtId="3" fontId="88" fillId="0" borderId="0" xfId="47" applyNumberFormat="1" applyFont="1" applyAlignment="1">
      <alignment vertical="top"/>
    </xf>
    <xf numFmtId="3" fontId="87" fillId="0" borderId="0" xfId="47" applyNumberFormat="1" applyFont="1" applyAlignment="1">
      <alignment vertical="top"/>
    </xf>
    <xf numFmtId="3" fontId="89" fillId="0" borderId="0" xfId="47" applyNumberFormat="1" applyFont="1"/>
    <xf numFmtId="165" fontId="86" fillId="0" borderId="0" xfId="47" applyNumberFormat="1" applyFont="1" applyAlignment="1">
      <alignment horizontal="right"/>
    </xf>
    <xf numFmtId="3" fontId="90" fillId="0" borderId="0" xfId="47" applyNumberFormat="1" applyFont="1"/>
    <xf numFmtId="3" fontId="20" fillId="0" borderId="0" xfId="47" applyNumberFormat="1" applyFont="1" applyFill="1"/>
    <xf numFmtId="0" fontId="69" fillId="0" borderId="0" xfId="47" applyFont="1" applyBorder="1"/>
    <xf numFmtId="3" fontId="99" fillId="0" borderId="0" xfId="47" quotePrefix="1" applyNumberFormat="1" applyFont="1" applyFill="1" applyBorder="1" applyAlignment="1">
      <alignment horizontal="center"/>
    </xf>
    <xf numFmtId="3" fontId="69" fillId="0" borderId="0" xfId="47" applyNumberFormat="1" applyFont="1" applyAlignment="1">
      <alignment vertical="top"/>
    </xf>
    <xf numFmtId="3" fontId="99" fillId="0" borderId="0" xfId="47" applyNumberFormat="1" applyFont="1" applyAlignment="1">
      <alignment vertical="top"/>
    </xf>
    <xf numFmtId="165" fontId="69" fillId="0" borderId="0" xfId="47" applyNumberFormat="1" applyFont="1" applyAlignment="1">
      <alignment horizontal="right"/>
    </xf>
    <xf numFmtId="167" fontId="11" fillId="0" borderId="0" xfId="58" applyNumberFormat="1" applyFont="1" applyFill="1" applyBorder="1" applyAlignment="1">
      <alignment horizontal="right"/>
    </xf>
    <xf numFmtId="167" fontId="91" fillId="0" borderId="0" xfId="58" applyNumberFormat="1" applyFont="1" applyFill="1" applyBorder="1" applyAlignment="1">
      <alignment horizontal="right"/>
    </xf>
    <xf numFmtId="3" fontId="69" fillId="0" borderId="0" xfId="38" applyNumberFormat="1" applyFont="1" applyFill="1" applyBorder="1" applyAlignment="1">
      <alignment horizontal="right"/>
    </xf>
    <xf numFmtId="164" fontId="69" fillId="0" borderId="0" xfId="47" applyNumberFormat="1" applyFont="1" applyFill="1" applyAlignment="1">
      <alignment horizontal="right"/>
    </xf>
    <xf numFmtId="0" fontId="100" fillId="0" borderId="0" xfId="47" applyFont="1" applyFill="1" applyBorder="1"/>
    <xf numFmtId="0" fontId="101" fillId="0" borderId="0" xfId="47" applyFont="1" applyFill="1" applyBorder="1" applyAlignment="1">
      <alignment vertical="center"/>
    </xf>
    <xf numFmtId="0" fontId="101" fillId="0" borderId="41" xfId="47" applyFont="1" applyFill="1" applyBorder="1" applyAlignment="1">
      <alignment vertical="center"/>
    </xf>
    <xf numFmtId="3" fontId="100" fillId="0" borderId="0" xfId="47" applyNumberFormat="1" applyFont="1" applyFill="1"/>
    <xf numFmtId="164" fontId="100" fillId="0" borderId="0" xfId="47" applyNumberFormat="1" applyFont="1" applyFill="1"/>
    <xf numFmtId="3" fontId="100" fillId="0" borderId="0" xfId="47" applyNumberFormat="1" applyFont="1"/>
    <xf numFmtId="3" fontId="102" fillId="0" borderId="0" xfId="47" applyNumberFormat="1" applyFont="1"/>
    <xf numFmtId="0" fontId="11" fillId="0" borderId="0" xfId="47" applyFont="1" applyFill="1" applyBorder="1" applyAlignment="1">
      <alignment horizontal="right"/>
    </xf>
    <xf numFmtId="0" fontId="11" fillId="0" borderId="0" xfId="47"/>
    <xf numFmtId="0" fontId="82" fillId="0" borderId="20" xfId="47" applyNumberFormat="1" applyFont="1" applyBorder="1" applyAlignment="1">
      <alignment horizontal="left"/>
    </xf>
    <xf numFmtId="164" fontId="11" fillId="0" borderId="13" xfId="47" applyNumberFormat="1" applyFont="1" applyFill="1" applyBorder="1" applyAlignment="1">
      <alignment horizontal="right"/>
    </xf>
    <xf numFmtId="0" fontId="82" fillId="0" borderId="20" xfId="47" applyNumberFormat="1" applyFont="1" applyFill="1" applyBorder="1" applyAlignment="1">
      <alignment horizontal="left"/>
    </xf>
    <xf numFmtId="43" fontId="0" fillId="0" borderId="0" xfId="58" applyFont="1"/>
    <xf numFmtId="0" fontId="12" fillId="38" borderId="17" xfId="34" applyFill="1" applyBorder="1" applyAlignment="1" applyProtection="1"/>
    <xf numFmtId="0" fontId="12" fillId="38" borderId="18" xfId="34" applyFill="1" applyBorder="1" applyAlignment="1" applyProtection="1"/>
    <xf numFmtId="0" fontId="41" fillId="0" borderId="0" xfId="47" applyFont="1" applyFill="1" applyBorder="1"/>
    <xf numFmtId="0" fontId="88" fillId="0" borderId="0" xfId="58" applyNumberFormat="1" applyFont="1"/>
    <xf numFmtId="0" fontId="90" fillId="0" borderId="0" xfId="58" applyNumberFormat="1" applyFont="1"/>
    <xf numFmtId="10" fontId="0" fillId="0" borderId="13" xfId="43" applyNumberFormat="1" applyFont="1" applyFill="1" applyBorder="1"/>
    <xf numFmtId="3" fontId="62" fillId="0" borderId="0" xfId="47" applyNumberFormat="1" applyFont="1" applyFill="1"/>
    <xf numFmtId="0" fontId="69" fillId="0" borderId="0" xfId="47" applyFont="1" applyFill="1" applyBorder="1"/>
    <xf numFmtId="3" fontId="69" fillId="0" borderId="0" xfId="47" applyNumberFormat="1" applyFont="1" applyFill="1"/>
    <xf numFmtId="3" fontId="69" fillId="0" borderId="0" xfId="47" applyNumberFormat="1" applyFont="1" applyFill="1" applyAlignment="1">
      <alignment vertical="top"/>
    </xf>
    <xf numFmtId="3" fontId="99" fillId="0" borderId="0" xfId="47" applyNumberFormat="1" applyFont="1" applyFill="1" applyAlignment="1">
      <alignment vertical="top"/>
    </xf>
    <xf numFmtId="165" fontId="69" fillId="0" borderId="0" xfId="47" applyNumberFormat="1" applyFont="1" applyFill="1" applyAlignment="1">
      <alignment horizontal="right"/>
    </xf>
    <xf numFmtId="4" fontId="11" fillId="0" borderId="12" xfId="47" applyNumberFormat="1" applyFont="1" applyFill="1" applyBorder="1" applyAlignment="1">
      <alignment horizontal="center"/>
    </xf>
    <xf numFmtId="0" fontId="11" fillId="0" borderId="0" xfId="47" applyFont="1" applyFill="1" applyBorder="1" applyAlignment="1"/>
    <xf numFmtId="0" fontId="11" fillId="0" borderId="36" xfId="47" applyFont="1" applyFill="1" applyBorder="1" applyAlignment="1"/>
    <xf numFmtId="0" fontId="11" fillId="0" borderId="0" xfId="64"/>
    <xf numFmtId="0" fontId="21" fillId="0" borderId="0" xfId="47" applyFont="1" applyFill="1" applyBorder="1" applyAlignment="1">
      <alignment vertical="center"/>
    </xf>
    <xf numFmtId="3" fontId="24" fillId="0" borderId="0" xfId="47" applyNumberFormat="1" applyFont="1" applyFill="1" applyBorder="1"/>
    <xf numFmtId="3" fontId="89" fillId="0" borderId="0" xfId="47" applyNumberFormat="1" applyFont="1" applyFill="1"/>
    <xf numFmtId="0" fontId="101" fillId="0" borderId="16" xfId="47" applyFont="1" applyFill="1" applyBorder="1" applyAlignment="1">
      <alignment vertical="center"/>
    </xf>
    <xf numFmtId="0" fontId="14" fillId="0" borderId="0" xfId="47" applyFont="1" applyFill="1" applyBorder="1"/>
    <xf numFmtId="0" fontId="11" fillId="0" borderId="39" xfId="47" applyFont="1" applyBorder="1" applyAlignment="1"/>
    <xf numFmtId="0" fontId="11" fillId="0" borderId="40" xfId="47" applyFont="1" applyBorder="1" applyAlignment="1"/>
    <xf numFmtId="0" fontId="21" fillId="0" borderId="39" xfId="38" applyFont="1" applyFill="1" applyBorder="1" applyAlignment="1">
      <alignment vertical="center"/>
    </xf>
    <xf numFmtId="0" fontId="21" fillId="0" borderId="21" xfId="47" applyFont="1" applyFill="1" applyBorder="1" applyAlignment="1">
      <alignment vertical="center"/>
    </xf>
    <xf numFmtId="0" fontId="33" fillId="29" borderId="21" xfId="47" applyFont="1" applyFill="1" applyBorder="1" applyAlignment="1">
      <alignment vertical="center"/>
    </xf>
    <xf numFmtId="0" fontId="34" fillId="26" borderId="21" xfId="47" applyFont="1" applyFill="1" applyBorder="1" applyAlignment="1">
      <alignment vertical="center"/>
    </xf>
    <xf numFmtId="3" fontId="11" fillId="0" borderId="38" xfId="47" applyNumberFormat="1" applyBorder="1" applyAlignment="1">
      <alignment horizontal="left"/>
    </xf>
    <xf numFmtId="3" fontId="11" fillId="0" borderId="14" xfId="47" applyNumberFormat="1" applyBorder="1" applyAlignment="1">
      <alignment horizontal="left"/>
    </xf>
    <xf numFmtId="3" fontId="11" fillId="0" borderId="14" xfId="47" applyNumberFormat="1" applyBorder="1"/>
    <xf numFmtId="3" fontId="40" fillId="0" borderId="14" xfId="47" applyNumberFormat="1" applyFont="1" applyBorder="1" applyAlignment="1">
      <alignment horizontal="left"/>
    </xf>
    <xf numFmtId="3" fontId="19" fillId="0" borderId="14" xfId="47" applyNumberFormat="1" applyFont="1" applyBorder="1" applyAlignment="1">
      <alignment horizontal="left"/>
    </xf>
    <xf numFmtId="3" fontId="100" fillId="0" borderId="14" xfId="47" applyNumberFormat="1" applyFont="1" applyBorder="1" applyAlignment="1">
      <alignment horizontal="left"/>
    </xf>
    <xf numFmtId="1" fontId="11" fillId="0" borderId="14" xfId="47" applyNumberFormat="1" applyFill="1" applyBorder="1" applyAlignment="1">
      <alignment horizontal="left"/>
    </xf>
    <xf numFmtId="3" fontId="11" fillId="0" borderId="14" xfId="47" applyNumberFormat="1" applyFill="1" applyBorder="1" applyAlignment="1">
      <alignment horizontal="left"/>
    </xf>
    <xf numFmtId="3" fontId="19" fillId="0" borderId="23" xfId="47" applyNumberFormat="1" applyFont="1" applyBorder="1" applyAlignment="1">
      <alignment horizontal="left"/>
    </xf>
    <xf numFmtId="0" fontId="108" fillId="0" borderId="0" xfId="34" applyNumberFormat="1" applyFont="1" applyFill="1" applyBorder="1" applyAlignment="1" applyProtection="1">
      <alignment horizontal="right" vertical="center"/>
    </xf>
    <xf numFmtId="4" fontId="11" fillId="0" borderId="12" xfId="47" applyNumberFormat="1" applyFont="1" applyFill="1" applyBorder="1" applyAlignment="1">
      <alignment horizontal="right"/>
    </xf>
    <xf numFmtId="4" fontId="91" fillId="0" borderId="12" xfId="47" applyNumberFormat="1" applyFont="1" applyFill="1" applyBorder="1" applyAlignment="1">
      <alignment horizontal="right"/>
    </xf>
    <xf numFmtId="4" fontId="91" fillId="28" borderId="13" xfId="47" applyNumberFormat="1" applyFont="1" applyFill="1" applyBorder="1" applyAlignment="1">
      <alignment horizontal="right"/>
    </xf>
    <xf numFmtId="4" fontId="16" fillId="0" borderId="12" xfId="47" applyNumberFormat="1" applyFont="1" applyFill="1" applyBorder="1" applyAlignment="1">
      <alignment horizontal="right"/>
    </xf>
    <xf numFmtId="4" fontId="11" fillId="0" borderId="0" xfId="47" applyNumberFormat="1" applyFill="1" applyBorder="1"/>
    <xf numFmtId="167" fontId="91" fillId="0" borderId="0" xfId="58" applyNumberFormat="1" applyFont="1" applyFill="1" applyBorder="1" applyAlignment="1"/>
    <xf numFmtId="3" fontId="11" fillId="0" borderId="15" xfId="0" applyNumberFormat="1" applyFont="1" applyFill="1" applyBorder="1" applyAlignment="1"/>
    <xf numFmtId="0" fontId="14" fillId="0" borderId="0" xfId="47" applyFont="1" applyBorder="1"/>
    <xf numFmtId="3" fontId="42" fillId="0" borderId="0" xfId="47" applyNumberFormat="1" applyFont="1" applyBorder="1"/>
    <xf numFmtId="1" fontId="69" fillId="0" borderId="14" xfId="47" applyNumberFormat="1" applyFont="1" applyBorder="1" applyAlignment="1">
      <alignment horizontal="left"/>
    </xf>
    <xf numFmtId="0" fontId="67" fillId="0" borderId="0" xfId="77"/>
    <xf numFmtId="170" fontId="111" fillId="38" borderId="42" xfId="77" applyNumberFormat="1" applyFont="1" applyFill="1" applyBorder="1" applyAlignment="1">
      <alignment wrapText="1"/>
    </xf>
    <xf numFmtId="170" fontId="111" fillId="38" borderId="13" xfId="77" applyNumberFormat="1" applyFont="1" applyFill="1" applyBorder="1" applyAlignment="1">
      <alignment horizontal="right" wrapText="1"/>
    </xf>
    <xf numFmtId="170" fontId="111" fillId="38" borderId="13" xfId="77" applyNumberFormat="1" applyFont="1" applyFill="1" applyBorder="1" applyAlignment="1">
      <alignment horizontal="center" wrapText="1"/>
    </xf>
    <xf numFmtId="3" fontId="111" fillId="38" borderId="13" xfId="77" applyNumberFormat="1" applyFont="1" applyFill="1" applyBorder="1"/>
    <xf numFmtId="3" fontId="23" fillId="38" borderId="13" xfId="77" applyNumberFormat="1" applyFont="1" applyFill="1" applyBorder="1"/>
    <xf numFmtId="1" fontId="111" fillId="0" borderId="31" xfId="77" applyNumberFormat="1" applyFont="1" applyBorder="1"/>
    <xf numFmtId="3" fontId="111" fillId="38" borderId="45" xfId="77" applyNumberFormat="1" applyFont="1" applyFill="1" applyBorder="1"/>
    <xf numFmtId="166" fontId="11" fillId="0" borderId="0" xfId="43" applyNumberFormat="1"/>
    <xf numFmtId="3" fontId="16" fillId="0" borderId="0" xfId="47" applyNumberFormat="1" applyFont="1" applyFill="1"/>
    <xf numFmtId="3" fontId="67" fillId="0" borderId="0" xfId="77" applyNumberFormat="1"/>
    <xf numFmtId="3" fontId="11" fillId="0" borderId="0" xfId="47" applyNumberFormat="1" applyAlignment="1">
      <alignment horizontal="center"/>
    </xf>
    <xf numFmtId="0" fontId="65" fillId="0" borderId="0" xfId="47" applyFont="1" applyFill="1" applyBorder="1"/>
    <xf numFmtId="167" fontId="11" fillId="0" borderId="0" xfId="58" applyNumberFormat="1" applyFont="1" applyFill="1" applyBorder="1"/>
    <xf numFmtId="1" fontId="11" fillId="0" borderId="0" xfId="39" applyNumberFormat="1" applyFont="1" applyFill="1" applyAlignment="1" applyProtection="1">
      <alignment horizontal="left"/>
      <protection locked="0"/>
    </xf>
    <xf numFmtId="1" fontId="11" fillId="0" borderId="0" xfId="47" applyNumberFormat="1" applyFill="1" applyAlignment="1">
      <alignment horizontal="center"/>
    </xf>
    <xf numFmtId="1" fontId="11" fillId="0" borderId="0" xfId="39" applyNumberFormat="1" applyFont="1" applyFill="1" applyAlignment="1" applyProtection="1">
      <alignment horizontal="center"/>
      <protection locked="0"/>
    </xf>
    <xf numFmtId="3" fontId="11" fillId="0" borderId="0" xfId="39" applyNumberFormat="1" applyFont="1" applyFill="1" applyAlignment="1" applyProtection="1">
      <alignment horizontal="left"/>
      <protection locked="0"/>
    </xf>
    <xf numFmtId="0" fontId="12" fillId="38" borderId="35" xfId="34" applyFill="1" applyBorder="1" applyAlignment="1" applyProtection="1"/>
    <xf numFmtId="3" fontId="15" fillId="0" borderId="0" xfId="47" applyNumberFormat="1" applyFont="1" applyFill="1"/>
    <xf numFmtId="3" fontId="86" fillId="0" borderId="0" xfId="47" applyNumberFormat="1" applyFont="1" applyFill="1"/>
    <xf numFmtId="3" fontId="17" fillId="0" borderId="0" xfId="47" applyNumberFormat="1" applyFont="1" applyFill="1" applyBorder="1" applyAlignment="1">
      <alignment horizontal="left"/>
    </xf>
    <xf numFmtId="3" fontId="68" fillId="0" borderId="20" xfId="47" applyNumberFormat="1" applyFont="1" applyFill="1" applyBorder="1" applyAlignment="1">
      <alignment horizontal="left"/>
    </xf>
    <xf numFmtId="3" fontId="35" fillId="0" borderId="20" xfId="47" applyNumberFormat="1" applyFont="1" applyFill="1" applyBorder="1" applyAlignment="1">
      <alignment horizontal="left"/>
    </xf>
    <xf numFmtId="3" fontId="35" fillId="0" borderId="0" xfId="47" applyNumberFormat="1" applyFont="1" applyFill="1" applyAlignment="1">
      <alignment horizontal="left"/>
    </xf>
    <xf numFmtId="3" fontId="17" fillId="0" borderId="0" xfId="47" applyNumberFormat="1" applyFont="1" applyFill="1"/>
    <xf numFmtId="0" fontId="80" fillId="0" borderId="0" xfId="58" applyNumberFormat="1" applyFont="1" applyFill="1"/>
    <xf numFmtId="3" fontId="11" fillId="0" borderId="38" xfId="47" applyNumberFormat="1" applyFill="1" applyBorder="1" applyAlignment="1">
      <alignment horizontal="left"/>
    </xf>
    <xf numFmtId="3" fontId="11" fillId="0" borderId="11" xfId="47" applyNumberFormat="1" applyFill="1" applyBorder="1"/>
    <xf numFmtId="1" fontId="11" fillId="0" borderId="11" xfId="47" applyNumberFormat="1" applyFont="1" applyFill="1" applyBorder="1" applyAlignment="1">
      <alignment horizontal="right"/>
    </xf>
    <xf numFmtId="1" fontId="16" fillId="0" borderId="11" xfId="47" applyNumberFormat="1" applyFont="1" applyFill="1" applyBorder="1" applyAlignment="1">
      <alignment horizontal="center"/>
    </xf>
    <xf numFmtId="1" fontId="77" fillId="0" borderId="11" xfId="47" applyNumberFormat="1" applyFont="1" applyFill="1" applyBorder="1" applyAlignment="1">
      <alignment horizontal="center"/>
    </xf>
    <xf numFmtId="3" fontId="78" fillId="0" borderId="12" xfId="47" applyNumberFormat="1" applyFont="1" applyFill="1" applyBorder="1" applyAlignment="1">
      <alignment horizontal="center"/>
    </xf>
    <xf numFmtId="43" fontId="62" fillId="0" borderId="0" xfId="58" applyFont="1" applyFill="1"/>
    <xf numFmtId="3" fontId="11" fillId="0" borderId="14" xfId="47" applyNumberFormat="1" applyFill="1" applyBorder="1"/>
    <xf numFmtId="3" fontId="11" fillId="0" borderId="13" xfId="47" applyNumberFormat="1" applyFill="1" applyBorder="1" applyAlignment="1">
      <alignment horizontal="right"/>
    </xf>
    <xf numFmtId="0" fontId="19" fillId="0" borderId="25" xfId="47" applyFont="1" applyFill="1" applyBorder="1"/>
    <xf numFmtId="0" fontId="19" fillId="0" borderId="16" xfId="47" applyFont="1" applyFill="1" applyBorder="1"/>
    <xf numFmtId="0" fontId="90" fillId="0" borderId="0" xfId="58" applyNumberFormat="1" applyFont="1" applyFill="1"/>
    <xf numFmtId="165" fontId="14" fillId="0" borderId="0" xfId="47" applyNumberFormat="1" applyFont="1" applyFill="1" applyAlignment="1">
      <alignment horizontal="right"/>
    </xf>
    <xf numFmtId="3" fontId="90" fillId="0" borderId="0" xfId="47" applyNumberFormat="1" applyFont="1" applyFill="1"/>
    <xf numFmtId="43" fontId="0" fillId="0" borderId="0" xfId="58" applyFont="1" applyFill="1"/>
    <xf numFmtId="4" fontId="11" fillId="0" borderId="0" xfId="47" applyNumberFormat="1" applyFill="1"/>
    <xf numFmtId="3" fontId="40" fillId="0" borderId="14" xfId="47" applyNumberFormat="1" applyFont="1" applyFill="1" applyBorder="1" applyAlignment="1">
      <alignment horizontal="left"/>
    </xf>
    <xf numFmtId="9" fontId="0" fillId="0" borderId="0" xfId="43" applyFont="1" applyFill="1"/>
    <xf numFmtId="167" fontId="69" fillId="0" borderId="0" xfId="58" applyNumberFormat="1" applyFont="1" applyFill="1"/>
    <xf numFmtId="167" fontId="69" fillId="0" borderId="0" xfId="58" applyNumberFormat="1" applyFont="1" applyFill="1" applyBorder="1"/>
    <xf numFmtId="3" fontId="19" fillId="0" borderId="14" xfId="47" applyNumberFormat="1" applyFont="1" applyFill="1" applyBorder="1" applyAlignment="1">
      <alignment horizontal="left"/>
    </xf>
    <xf numFmtId="167" fontId="76" fillId="0" borderId="0" xfId="58" applyNumberFormat="1" applyFont="1" applyFill="1"/>
    <xf numFmtId="3" fontId="100" fillId="0" borderId="14" xfId="47" applyNumberFormat="1" applyFont="1" applyFill="1" applyBorder="1" applyAlignment="1">
      <alignment horizontal="left"/>
    </xf>
    <xf numFmtId="3" fontId="102" fillId="0" borderId="0" xfId="47" applyNumberFormat="1" applyFont="1" applyFill="1"/>
    <xf numFmtId="3" fontId="62" fillId="0" borderId="0" xfId="47" applyNumberFormat="1" applyFont="1" applyFill="1" applyAlignment="1">
      <alignment vertical="top"/>
    </xf>
    <xf numFmtId="3" fontId="87" fillId="0" borderId="0" xfId="47" applyNumberFormat="1" applyFont="1" applyFill="1" applyAlignment="1">
      <alignment vertical="top"/>
    </xf>
    <xf numFmtId="165" fontId="11" fillId="0" borderId="0" xfId="47" applyNumberFormat="1" applyFont="1" applyFill="1" applyAlignment="1">
      <alignment horizontal="right"/>
    </xf>
    <xf numFmtId="165" fontId="87" fillId="0" borderId="0" xfId="47" applyNumberFormat="1" applyFont="1" applyFill="1" applyAlignment="1">
      <alignment horizontal="right"/>
    </xf>
    <xf numFmtId="0" fontId="11" fillId="0" borderId="40" xfId="47" applyFont="1" applyFill="1" applyBorder="1" applyAlignment="1"/>
    <xf numFmtId="165" fontId="86" fillId="0" borderId="0" xfId="47" applyNumberFormat="1" applyFont="1" applyFill="1" applyAlignment="1">
      <alignment horizontal="right"/>
    </xf>
    <xf numFmtId="0" fontId="19" fillId="0" borderId="0" xfId="47" applyFont="1" applyFill="1"/>
    <xf numFmtId="0" fontId="23" fillId="0" borderId="0" xfId="47" applyFont="1" applyFill="1" applyBorder="1" applyAlignment="1">
      <alignment vertical="center"/>
    </xf>
    <xf numFmtId="3" fontId="19" fillId="0" borderId="23" xfId="47" applyNumberFormat="1" applyFont="1" applyFill="1" applyBorder="1" applyAlignment="1">
      <alignment horizontal="left"/>
    </xf>
    <xf numFmtId="3" fontId="19" fillId="0" borderId="0" xfId="47" applyNumberFormat="1" applyFont="1" applyFill="1" applyAlignment="1">
      <alignment horizontal="left"/>
    </xf>
    <xf numFmtId="0" fontId="60" fillId="0" borderId="0" xfId="38" applyFont="1" applyFill="1" applyBorder="1" applyAlignment="1">
      <alignment vertical="center"/>
    </xf>
    <xf numFmtId="3" fontId="11" fillId="0" borderId="13" xfId="47" applyNumberFormat="1" applyFill="1" applyBorder="1"/>
    <xf numFmtId="3" fontId="76" fillId="0" borderId="0" xfId="47" applyNumberFormat="1" applyFont="1" applyFill="1"/>
    <xf numFmtId="3" fontId="16" fillId="0" borderId="15" xfId="47" applyNumberFormat="1" applyFont="1" applyFill="1" applyBorder="1"/>
    <xf numFmtId="3" fontId="16" fillId="0" borderId="24" xfId="47" applyNumberFormat="1" applyFont="1" applyFill="1" applyBorder="1"/>
    <xf numFmtId="3" fontId="16" fillId="0" borderId="23" xfId="47" applyNumberFormat="1" applyFont="1" applyFill="1" applyBorder="1"/>
    <xf numFmtId="3" fontId="11" fillId="0" borderId="0" xfId="47" applyNumberFormat="1" applyFill="1" applyAlignment="1">
      <alignment horizontal="center"/>
    </xf>
    <xf numFmtId="3" fontId="11" fillId="0" borderId="13" xfId="47" applyNumberFormat="1" applyFont="1" applyFill="1" applyBorder="1" applyAlignment="1">
      <alignment horizontal="right"/>
    </xf>
    <xf numFmtId="3" fontId="16" fillId="43" borderId="23" xfId="47" applyNumberFormat="1" applyFont="1" applyFill="1" applyBorder="1" applyAlignment="1">
      <alignment horizontal="center" wrapText="1"/>
    </xf>
    <xf numFmtId="3" fontId="16" fillId="43" borderId="24" xfId="47" applyNumberFormat="1" applyFont="1" applyFill="1" applyBorder="1" applyAlignment="1">
      <alignment horizontal="center"/>
    </xf>
    <xf numFmtId="3" fontId="61" fillId="0" borderId="13" xfId="47" applyNumberFormat="1" applyFont="1" applyFill="1" applyBorder="1" applyAlignment="1">
      <alignment wrapText="1"/>
    </xf>
    <xf numFmtId="3" fontId="61" fillId="0" borderId="24" xfId="47" applyNumberFormat="1" applyFont="1" applyFill="1" applyBorder="1" applyAlignment="1">
      <alignment horizontal="center"/>
    </xf>
    <xf numFmtId="0" fontId="115" fillId="0" borderId="0" xfId="47" applyFont="1" applyFill="1" applyBorder="1"/>
    <xf numFmtId="0" fontId="61" fillId="0" borderId="0" xfId="47" applyFont="1" applyFill="1" applyBorder="1"/>
    <xf numFmtId="4" fontId="41" fillId="0" borderId="13" xfId="47" applyNumberFormat="1" applyFont="1" applyFill="1" applyBorder="1"/>
    <xf numFmtId="4" fontId="41" fillId="0" borderId="0" xfId="47" applyNumberFormat="1" applyFont="1" applyFill="1" applyBorder="1"/>
    <xf numFmtId="3" fontId="16" fillId="0" borderId="21" xfId="47" applyNumberFormat="1" applyFont="1" applyFill="1" applyBorder="1" applyAlignment="1">
      <alignment horizontal="right"/>
    </xf>
    <xf numFmtId="164" fontId="16" fillId="0" borderId="22" xfId="47" applyNumberFormat="1" applyFont="1" applyFill="1" applyBorder="1" applyAlignment="1">
      <alignment horizontal="right"/>
    </xf>
    <xf numFmtId="3" fontId="11" fillId="0" borderId="15" xfId="47" applyNumberFormat="1" applyFill="1" applyBorder="1" applyAlignment="1">
      <alignment horizontal="left"/>
    </xf>
    <xf numFmtId="0" fontId="11" fillId="0" borderId="15" xfId="47" applyFont="1" applyFill="1" applyBorder="1" applyAlignment="1"/>
    <xf numFmtId="3" fontId="11" fillId="0" borderId="14" xfId="47" applyNumberFormat="1" applyFont="1" applyFill="1" applyBorder="1" applyAlignment="1">
      <alignment horizontal="left"/>
    </xf>
    <xf numFmtId="0" fontId="23" fillId="0" borderId="21" xfId="47" applyFont="1" applyFill="1" applyBorder="1" applyAlignment="1">
      <alignment vertical="center"/>
    </xf>
    <xf numFmtId="3" fontId="16" fillId="0" borderId="26" xfId="47" applyNumberFormat="1" applyFont="1" applyFill="1" applyBorder="1"/>
    <xf numFmtId="3" fontId="14" fillId="0" borderId="0" xfId="47" applyNumberFormat="1" applyFont="1" applyFill="1"/>
    <xf numFmtId="165" fontId="103" fillId="0" borderId="0" xfId="47" applyNumberFormat="1" applyFont="1" applyFill="1" applyAlignment="1">
      <alignment horizontal="right"/>
    </xf>
    <xf numFmtId="3" fontId="14" fillId="0" borderId="0" xfId="47" applyNumberFormat="1" applyFont="1" applyFill="1" applyAlignment="1">
      <alignment vertical="top"/>
    </xf>
    <xf numFmtId="3" fontId="103" fillId="0" borderId="0" xfId="47" applyNumberFormat="1" applyFont="1" applyFill="1" applyAlignment="1">
      <alignment vertical="top"/>
    </xf>
    <xf numFmtId="0" fontId="16" fillId="0" borderId="0" xfId="47" applyFont="1" applyFill="1" applyBorder="1"/>
    <xf numFmtId="164" fontId="16" fillId="0" borderId="0" xfId="47" applyNumberFormat="1" applyFont="1" applyFill="1"/>
    <xf numFmtId="3" fontId="32" fillId="0" borderId="14" xfId="47" applyNumberFormat="1" applyFont="1" applyFill="1" applyBorder="1" applyAlignment="1">
      <alignment horizontal="left"/>
    </xf>
    <xf numFmtId="3" fontId="117" fillId="0" borderId="0" xfId="47" applyNumberFormat="1" applyFont="1" applyFill="1"/>
    <xf numFmtId="3" fontId="32" fillId="0" borderId="0" xfId="47" applyNumberFormat="1" applyFont="1" applyFill="1"/>
    <xf numFmtId="9" fontId="32" fillId="0" borderId="0" xfId="43" applyFont="1" applyFill="1"/>
    <xf numFmtId="4" fontId="104" fillId="0" borderId="12" xfId="47" applyNumberFormat="1" applyFont="1" applyFill="1" applyBorder="1" applyAlignment="1">
      <alignment horizontal="right"/>
    </xf>
    <xf numFmtId="3" fontId="16" fillId="0" borderId="28" xfId="47" applyNumberFormat="1" applyFont="1" applyFill="1" applyBorder="1"/>
    <xf numFmtId="3" fontId="16" fillId="0" borderId="25" xfId="47" applyNumberFormat="1" applyFont="1" applyFill="1" applyBorder="1"/>
    <xf numFmtId="3" fontId="11" fillId="0" borderId="0" xfId="47" applyNumberFormat="1" applyFont="1" applyFill="1" applyBorder="1"/>
    <xf numFmtId="3" fontId="11" fillId="0" borderId="16" xfId="47" applyNumberFormat="1" applyFont="1" applyFill="1" applyBorder="1"/>
    <xf numFmtId="3" fontId="16" fillId="0" borderId="16" xfId="47" applyNumberFormat="1" applyFont="1" applyFill="1" applyBorder="1"/>
    <xf numFmtId="3" fontId="16" fillId="0" borderId="20" xfId="47" applyNumberFormat="1" applyFont="1" applyFill="1" applyBorder="1"/>
    <xf numFmtId="3" fontId="11" fillId="0" borderId="16" xfId="47" applyNumberFormat="1" applyFill="1" applyBorder="1"/>
    <xf numFmtId="3" fontId="11" fillId="0" borderId="15" xfId="0" applyNumberFormat="1" applyFont="1" applyFill="1" applyBorder="1" applyAlignment="1">
      <alignment horizontal="center"/>
    </xf>
    <xf numFmtId="3" fontId="16" fillId="0" borderId="26" xfId="47" applyNumberFormat="1" applyFont="1" applyFill="1" applyBorder="1" applyAlignment="1">
      <alignment horizontal="right"/>
    </xf>
    <xf numFmtId="4" fontId="16" fillId="43" borderId="12" xfId="47" applyNumberFormat="1" applyFont="1" applyFill="1" applyBorder="1" applyAlignment="1">
      <alignment horizontal="right"/>
    </xf>
    <xf numFmtId="3" fontId="16" fillId="43" borderId="13" xfId="47" applyNumberFormat="1" applyFont="1" applyFill="1" applyBorder="1" applyAlignment="1">
      <alignment horizontal="right"/>
    </xf>
    <xf numFmtId="4" fontId="11" fillId="0" borderId="13" xfId="47" applyNumberFormat="1" applyFont="1" applyFill="1" applyBorder="1" applyAlignment="1" applyProtection="1">
      <alignment horizontal="right"/>
      <protection locked="0"/>
    </xf>
    <xf numFmtId="4" fontId="16" fillId="43" borderId="13" xfId="47" applyNumberFormat="1" applyFont="1" applyFill="1" applyBorder="1" applyAlignment="1" applyProtection="1">
      <alignment horizontal="right"/>
      <protection locked="0"/>
    </xf>
    <xf numFmtId="4" fontId="11" fillId="43" borderId="13" xfId="47" applyNumberFormat="1" applyFill="1" applyBorder="1"/>
    <xf numFmtId="0" fontId="16" fillId="43" borderId="10" xfId="47" applyFont="1" applyFill="1" applyBorder="1"/>
    <xf numFmtId="0" fontId="23" fillId="43" borderId="11" xfId="47" applyFont="1" applyFill="1" applyBorder="1" applyAlignment="1">
      <alignment vertical="center"/>
    </xf>
    <xf numFmtId="0" fontId="23" fillId="43" borderId="10" xfId="47" applyFont="1" applyFill="1" applyBorder="1"/>
    <xf numFmtId="3" fontId="23" fillId="43" borderId="10" xfId="47" applyNumberFormat="1" applyFont="1" applyFill="1" applyBorder="1"/>
    <xf numFmtId="3" fontId="23" fillId="43" borderId="11" xfId="47" applyNumberFormat="1" applyFont="1" applyFill="1" applyBorder="1"/>
    <xf numFmtId="164" fontId="23" fillId="43" borderId="12" xfId="47" applyNumberFormat="1" applyFont="1" applyFill="1" applyBorder="1"/>
    <xf numFmtId="3" fontId="23" fillId="0" borderId="0" xfId="47" applyNumberFormat="1" applyFont="1" applyFill="1"/>
    <xf numFmtId="164" fontId="16" fillId="0" borderId="22" xfId="58" applyNumberFormat="1" applyFont="1" applyFill="1" applyBorder="1" applyAlignment="1">
      <alignment horizontal="right"/>
    </xf>
    <xf numFmtId="3" fontId="80" fillId="0" borderId="0" xfId="47" applyNumberFormat="1" applyFont="1" applyFill="1"/>
    <xf numFmtId="0" fontId="23" fillId="41" borderId="10" xfId="47" applyFont="1" applyFill="1" applyBorder="1"/>
    <xf numFmtId="0" fontId="23" fillId="41" borderId="11" xfId="47" applyFont="1" applyFill="1" applyBorder="1" applyAlignment="1">
      <alignment vertical="center"/>
    </xf>
    <xf numFmtId="0" fontId="23" fillId="41" borderId="12" xfId="47" applyFont="1" applyFill="1" applyBorder="1" applyAlignment="1">
      <alignment vertical="center"/>
    </xf>
    <xf numFmtId="0" fontId="33" fillId="41" borderId="21" xfId="47" applyFont="1" applyFill="1" applyBorder="1" applyAlignment="1">
      <alignment vertical="center"/>
    </xf>
    <xf numFmtId="0" fontId="33" fillId="41" borderId="21" xfId="38" applyFont="1" applyFill="1" applyBorder="1" applyAlignment="1">
      <alignment vertical="center"/>
    </xf>
    <xf numFmtId="0" fontId="33" fillId="41" borderId="22" xfId="38" applyFont="1" applyFill="1" applyBorder="1" applyAlignment="1">
      <alignment vertical="center"/>
    </xf>
    <xf numFmtId="3" fontId="23" fillId="41" borderId="26" xfId="47" applyNumberFormat="1" applyFont="1" applyFill="1" applyBorder="1"/>
    <xf numFmtId="3" fontId="23" fillId="41" borderId="21" xfId="47" applyNumberFormat="1" applyFont="1" applyFill="1" applyBorder="1"/>
    <xf numFmtId="3" fontId="23" fillId="41" borderId="21" xfId="47" applyNumberFormat="1" applyFont="1" applyFill="1" applyBorder="1" applyAlignment="1">
      <alignment horizontal="right"/>
    </xf>
    <xf numFmtId="164" fontId="23" fillId="41" borderId="22" xfId="47" applyNumberFormat="1" applyFont="1" applyFill="1" applyBorder="1" applyAlignment="1">
      <alignment horizontal="right"/>
    </xf>
    <xf numFmtId="0" fontId="23" fillId="41" borderId="21" xfId="38" applyFont="1" applyFill="1" applyBorder="1" applyAlignment="1">
      <alignment vertical="center"/>
    </xf>
    <xf numFmtId="0" fontId="23" fillId="41" borderId="22" xfId="38" applyFont="1" applyFill="1" applyBorder="1" applyAlignment="1">
      <alignment vertical="center"/>
    </xf>
    <xf numFmtId="3" fontId="32" fillId="0" borderId="15" xfId="47" applyNumberFormat="1" applyFont="1" applyFill="1" applyBorder="1" applyAlignment="1">
      <alignment horizontal="left"/>
    </xf>
    <xf numFmtId="3" fontId="11" fillId="43" borderId="13" xfId="47" applyNumberFormat="1" applyFont="1" applyFill="1" applyBorder="1" applyAlignment="1">
      <alignment horizontal="right"/>
    </xf>
    <xf numFmtId="3" fontId="11" fillId="43" borderId="13" xfId="38" applyNumberFormat="1" applyFont="1" applyFill="1" applyBorder="1" applyAlignment="1">
      <alignment horizontal="right"/>
    </xf>
    <xf numFmtId="164" fontId="11" fillId="43" borderId="13" xfId="47" applyNumberFormat="1" applyFont="1" applyFill="1" applyBorder="1" applyAlignment="1">
      <alignment horizontal="right"/>
    </xf>
    <xf numFmtId="3" fontId="61" fillId="0" borderId="0" xfId="47" applyNumberFormat="1" applyFont="1" applyFill="1"/>
    <xf numFmtId="0" fontId="42" fillId="0" borderId="0" xfId="47" applyFont="1" applyFill="1" applyBorder="1"/>
    <xf numFmtId="3" fontId="61" fillId="0" borderId="0" xfId="47" applyNumberFormat="1" applyFont="1" applyFill="1" applyBorder="1" applyAlignment="1">
      <alignment horizontal="right"/>
    </xf>
    <xf numFmtId="3" fontId="81" fillId="0" borderId="0" xfId="47" applyNumberFormat="1" applyFont="1" applyFill="1" applyBorder="1" applyAlignment="1">
      <alignment horizontal="right"/>
    </xf>
    <xf numFmtId="3" fontId="61" fillId="0" borderId="0" xfId="38" applyNumberFormat="1" applyFont="1" applyFill="1" applyBorder="1" applyAlignment="1">
      <alignment horizontal="right"/>
    </xf>
    <xf numFmtId="164" fontId="61" fillId="0" borderId="0" xfId="47" applyNumberFormat="1" applyFont="1" applyFill="1" applyAlignment="1">
      <alignment horizontal="right"/>
    </xf>
    <xf numFmtId="0" fontId="11" fillId="43" borderId="11" xfId="47" applyFill="1" applyBorder="1"/>
    <xf numFmtId="4" fontId="41" fillId="43" borderId="11" xfId="47" applyNumberFormat="1" applyFont="1" applyFill="1" applyBorder="1"/>
    <xf numFmtId="4" fontId="11" fillId="43" borderId="11" xfId="47" applyNumberFormat="1" applyFill="1" applyBorder="1"/>
    <xf numFmtId="4" fontId="11" fillId="43" borderId="12" xfId="47" applyNumberFormat="1" applyFill="1" applyBorder="1"/>
    <xf numFmtId="0" fontId="119" fillId="41" borderId="26" xfId="38" applyFont="1" applyFill="1" applyBorder="1" applyAlignment="1">
      <alignment vertical="center"/>
    </xf>
    <xf numFmtId="3" fontId="23" fillId="41" borderId="27" xfId="47" applyNumberFormat="1" applyFont="1" applyFill="1" applyBorder="1"/>
    <xf numFmtId="3" fontId="23" fillId="41" borderId="28" xfId="47" applyNumberFormat="1" applyFont="1" applyFill="1" applyBorder="1"/>
    <xf numFmtId="164" fontId="23" fillId="41" borderId="25" xfId="47" applyNumberFormat="1" applyFont="1" applyFill="1" applyBorder="1"/>
    <xf numFmtId="167" fontId="120" fillId="0" borderId="16" xfId="58" applyNumberFormat="1" applyFont="1" applyFill="1" applyBorder="1"/>
    <xf numFmtId="4" fontId="32" fillId="0" borderId="0" xfId="47" applyNumberFormat="1" applyFont="1" applyFill="1" applyBorder="1"/>
    <xf numFmtId="0" fontId="32" fillId="0" borderId="16" xfId="47" applyFont="1" applyFill="1" applyBorder="1"/>
    <xf numFmtId="164" fontId="61" fillId="0" borderId="0" xfId="47" applyNumberFormat="1" applyFont="1" applyFill="1" applyBorder="1" applyAlignment="1">
      <alignment horizontal="right"/>
    </xf>
    <xf numFmtId="43" fontId="80" fillId="0" borderId="0" xfId="58" applyFont="1" applyFill="1"/>
    <xf numFmtId="0" fontId="11" fillId="0" borderId="16" xfId="47" applyFont="1" applyFill="1" applyBorder="1"/>
    <xf numFmtId="0" fontId="11" fillId="0" borderId="0" xfId="39" applyNumberFormat="1" applyFont="1" applyFill="1" applyAlignment="1" applyProtection="1">
      <alignment horizontal="left"/>
      <protection locked="0"/>
    </xf>
    <xf numFmtId="1" fontId="11" fillId="0" borderId="0" xfId="47" applyNumberFormat="1" applyFill="1" applyAlignment="1">
      <alignment horizontal="left"/>
    </xf>
    <xf numFmtId="3" fontId="11" fillId="0" borderId="11" xfId="47" applyNumberFormat="1" applyFont="1" applyFill="1" applyBorder="1"/>
    <xf numFmtId="1" fontId="42" fillId="0" borderId="11" xfId="47" applyNumberFormat="1" applyFont="1" applyFill="1" applyBorder="1" applyAlignment="1">
      <alignment horizontal="center"/>
    </xf>
    <xf numFmtId="3" fontId="42" fillId="0" borderId="12" xfId="47" applyNumberFormat="1" applyFont="1" applyFill="1" applyBorder="1" applyAlignment="1">
      <alignment horizontal="center"/>
    </xf>
    <xf numFmtId="4" fontId="61" fillId="0" borderId="13" xfId="47" applyNumberFormat="1" applyFont="1" applyFill="1" applyBorder="1" applyAlignment="1">
      <alignment horizontal="right"/>
    </xf>
    <xf numFmtId="4" fontId="11" fillId="0" borderId="0" xfId="47" applyNumberFormat="1" applyFont="1" applyFill="1" applyBorder="1"/>
    <xf numFmtId="4" fontId="11" fillId="0" borderId="16" xfId="47" applyNumberFormat="1" applyFont="1" applyFill="1" applyBorder="1"/>
    <xf numFmtId="2" fontId="11" fillId="0" borderId="16" xfId="47" applyNumberFormat="1" applyFont="1" applyFill="1" applyBorder="1"/>
    <xf numFmtId="2" fontId="11" fillId="0" borderId="0" xfId="47" applyNumberFormat="1" applyFont="1" applyFill="1" applyBorder="1"/>
    <xf numFmtId="3" fontId="14" fillId="0" borderId="0" xfId="47" applyNumberFormat="1" applyFont="1" applyFill="1" applyAlignment="1">
      <alignment horizontal="right" vertical="top"/>
    </xf>
    <xf numFmtId="10" fontId="11" fillId="0" borderId="13" xfId="43" applyNumberFormat="1" applyFont="1" applyFill="1" applyBorder="1"/>
    <xf numFmtId="3" fontId="121" fillId="0" borderId="0" xfId="47" quotePrefix="1" applyNumberFormat="1" applyFont="1" applyFill="1" applyBorder="1" applyAlignment="1">
      <alignment horizontal="center"/>
    </xf>
    <xf numFmtId="3" fontId="16" fillId="0" borderId="21" xfId="47" applyNumberFormat="1" applyFont="1" applyFill="1" applyBorder="1"/>
    <xf numFmtId="165" fontId="16" fillId="0" borderId="22" xfId="47" applyNumberFormat="1" applyFont="1" applyFill="1" applyBorder="1" applyAlignment="1">
      <alignment horizontal="right"/>
    </xf>
    <xf numFmtId="4" fontId="11" fillId="0" borderId="13" xfId="47" applyNumberFormat="1" applyFont="1" applyFill="1" applyBorder="1"/>
    <xf numFmtId="0" fontId="11" fillId="43" borderId="11" xfId="47" applyFont="1" applyFill="1" applyBorder="1"/>
    <xf numFmtId="4" fontId="11" fillId="43" borderId="12" xfId="47" applyNumberFormat="1" applyFont="1" applyFill="1" applyBorder="1"/>
    <xf numFmtId="4" fontId="11" fillId="43" borderId="12" xfId="47" applyNumberFormat="1" applyFont="1" applyFill="1" applyBorder="1" applyAlignment="1">
      <alignment horizontal="right"/>
    </xf>
    <xf numFmtId="4" fontId="16" fillId="43" borderId="13" xfId="47" applyNumberFormat="1" applyFont="1" applyFill="1" applyBorder="1" applyAlignment="1">
      <alignment horizontal="right"/>
    </xf>
    <xf numFmtId="164" fontId="16" fillId="43" borderId="13" xfId="47" applyNumberFormat="1" applyFont="1" applyFill="1" applyBorder="1" applyAlignment="1">
      <alignment horizontal="right"/>
    </xf>
    <xf numFmtId="0" fontId="122" fillId="0" borderId="0" xfId="58" applyNumberFormat="1" applyFont="1" applyFill="1"/>
    <xf numFmtId="1" fontId="11" fillId="0" borderId="14" xfId="47" applyNumberFormat="1" applyFont="1" applyFill="1" applyBorder="1" applyAlignment="1">
      <alignment horizontal="left"/>
    </xf>
    <xf numFmtId="4" fontId="61" fillId="0" borderId="0" xfId="47" applyNumberFormat="1" applyFont="1" applyFill="1" applyBorder="1"/>
    <xf numFmtId="3" fontId="68" fillId="0" borderId="0" xfId="47" applyNumberFormat="1" applyFont="1" applyFill="1"/>
    <xf numFmtId="3" fontId="123" fillId="0" borderId="0" xfId="47" applyNumberFormat="1" applyFont="1" applyFill="1"/>
    <xf numFmtId="3" fontId="91" fillId="0" borderId="0" xfId="47" applyNumberFormat="1" applyFont="1" applyFill="1"/>
    <xf numFmtId="43" fontId="11" fillId="0" borderId="0" xfId="58" applyFont="1" applyFill="1"/>
    <xf numFmtId="4" fontId="11" fillId="0" borderId="0" xfId="47" applyNumberFormat="1" applyFont="1" applyFill="1"/>
    <xf numFmtId="0" fontId="11" fillId="0" borderId="36" xfId="47" applyFont="1" applyFill="1" applyBorder="1"/>
    <xf numFmtId="10" fontId="11" fillId="43" borderId="13" xfId="43" applyNumberFormat="1" applyFont="1" applyFill="1" applyBorder="1"/>
    <xf numFmtId="3" fontId="11" fillId="0" borderId="0" xfId="64" applyNumberFormat="1"/>
    <xf numFmtId="3" fontId="29" fillId="0" borderId="0" xfId="64" applyNumberFormat="1" applyFont="1"/>
    <xf numFmtId="3" fontId="11" fillId="0" borderId="0" xfId="64" applyNumberFormat="1" applyAlignment="1">
      <alignment horizontal="center"/>
    </xf>
    <xf numFmtId="3" fontId="68" fillId="0" borderId="0" xfId="64" applyNumberFormat="1" applyFont="1"/>
    <xf numFmtId="3" fontId="35" fillId="0" borderId="0" xfId="64" applyNumberFormat="1" applyFont="1"/>
    <xf numFmtId="3" fontId="11" fillId="0" borderId="19" xfId="64" applyNumberFormat="1" applyBorder="1"/>
    <xf numFmtId="3" fontId="39" fillId="0" borderId="0" xfId="64" applyNumberFormat="1" applyFont="1"/>
    <xf numFmtId="3" fontId="16" fillId="0" borderId="0" xfId="64" applyNumberFormat="1" applyFont="1" applyAlignment="1">
      <alignment horizontal="right"/>
    </xf>
    <xf numFmtId="3" fontId="61" fillId="0" borderId="15" xfId="64" applyNumberFormat="1" applyFont="1" applyBorder="1" applyAlignment="1">
      <alignment horizontal="right"/>
    </xf>
    <xf numFmtId="3" fontId="11" fillId="0" borderId="16" xfId="64" applyNumberFormat="1" applyBorder="1"/>
    <xf numFmtId="3" fontId="11" fillId="0" borderId="15" xfId="64" applyNumberFormat="1" applyBorder="1"/>
    <xf numFmtId="3" fontId="11" fillId="0" borderId="20" xfId="64" applyNumberFormat="1" applyBorder="1"/>
    <xf numFmtId="3" fontId="11" fillId="0" borderId="0" xfId="64" quotePrefix="1" applyNumberFormat="1" applyAlignment="1">
      <alignment horizontal="left"/>
    </xf>
    <xf numFmtId="3" fontId="16" fillId="0" borderId="0" xfId="64" applyNumberFormat="1" applyFont="1"/>
    <xf numFmtId="3" fontId="16" fillId="0" borderId="13" xfId="64" applyNumberFormat="1" applyFont="1" applyBorder="1"/>
    <xf numFmtId="3" fontId="61" fillId="0" borderId="15" xfId="64" applyNumberFormat="1" applyFont="1" applyBorder="1"/>
    <xf numFmtId="10" fontId="11" fillId="0" borderId="0" xfId="57" applyNumberFormat="1" applyFill="1" applyBorder="1"/>
    <xf numFmtId="10" fontId="11" fillId="0" borderId="19" xfId="57" applyNumberFormat="1" applyFill="1" applyBorder="1"/>
    <xf numFmtId="3" fontId="11" fillId="0" borderId="37" xfId="64" applyNumberFormat="1" applyBorder="1"/>
    <xf numFmtId="166" fontId="11" fillId="0" borderId="0" xfId="57" applyNumberFormat="1" applyFill="1" applyBorder="1"/>
    <xf numFmtId="167" fontId="11" fillId="0" borderId="0" xfId="50" applyNumberFormat="1" applyFill="1" applyBorder="1"/>
    <xf numFmtId="166" fontId="11" fillId="0" borderId="16" xfId="57" applyNumberFormat="1" applyFill="1" applyBorder="1"/>
    <xf numFmtId="3" fontId="11" fillId="0" borderId="0" xfId="64" quotePrefix="1" applyNumberFormat="1" applyAlignment="1">
      <alignment horizontal="center"/>
    </xf>
    <xf numFmtId="3" fontId="11" fillId="0" borderId="27" xfId="64" applyNumberFormat="1" applyBorder="1"/>
    <xf numFmtId="3" fontId="11" fillId="0" borderId="28" xfId="64" applyNumberFormat="1" applyBorder="1"/>
    <xf numFmtId="3" fontId="11" fillId="0" borderId="28" xfId="64" applyNumberFormat="1" applyBorder="1" applyAlignment="1">
      <alignment horizontal="center"/>
    </xf>
    <xf numFmtId="3" fontId="11" fillId="0" borderId="25" xfId="64" applyNumberFormat="1" applyBorder="1"/>
    <xf numFmtId="10" fontId="65" fillId="0" borderId="16" xfId="64" applyNumberFormat="1" applyFont="1" applyBorder="1" applyAlignment="1">
      <alignment horizontal="right"/>
    </xf>
    <xf numFmtId="166" fontId="0" fillId="0" borderId="0" xfId="57" applyNumberFormat="1" applyFont="1" applyFill="1"/>
    <xf numFmtId="3" fontId="11" fillId="0" borderId="29" xfId="64" applyNumberFormat="1" applyBorder="1"/>
    <xf numFmtId="3" fontId="11" fillId="0" borderId="20" xfId="64" applyNumberFormat="1" applyBorder="1" applyAlignment="1">
      <alignment horizontal="center"/>
    </xf>
    <xf numFmtId="3" fontId="11" fillId="0" borderId="24" xfId="64" applyNumberFormat="1" applyBorder="1"/>
    <xf numFmtId="1" fontId="11" fillId="0" borderId="0" xfId="64" applyNumberFormat="1"/>
    <xf numFmtId="0" fontId="11" fillId="0" borderId="0" xfId="64" applyAlignment="1">
      <alignment horizontal="center"/>
    </xf>
    <xf numFmtId="0" fontId="109" fillId="0" borderId="0" xfId="77" applyFont="1"/>
    <xf numFmtId="17" fontId="110" fillId="0" borderId="0" xfId="91" applyNumberFormat="1" applyFont="1" applyAlignment="1">
      <alignment horizontal="left"/>
    </xf>
    <xf numFmtId="0" fontId="4" fillId="0" borderId="0" xfId="91"/>
    <xf numFmtId="9" fontId="4" fillId="0" borderId="0" xfId="91" applyNumberFormat="1"/>
    <xf numFmtId="0" fontId="32" fillId="0" borderId="13" xfId="77" applyFont="1" applyBorder="1" applyAlignment="1">
      <alignment horizontal="left"/>
    </xf>
    <xf numFmtId="0" fontId="32" fillId="0" borderId="10" xfId="77" applyFont="1" applyBorder="1" applyAlignment="1">
      <alignment horizontal="left"/>
    </xf>
    <xf numFmtId="3" fontId="4" fillId="0" borderId="43" xfId="91" applyNumberFormat="1" applyBorder="1"/>
    <xf numFmtId="3" fontId="4" fillId="0" borderId="44" xfId="91" applyNumberFormat="1" applyBorder="1"/>
    <xf numFmtId="3" fontId="4" fillId="0" borderId="13" xfId="77" applyNumberFormat="1" applyFont="1" applyBorder="1"/>
    <xf numFmtId="0" fontId="4" fillId="0" borderId="13" xfId="77" applyFont="1" applyBorder="1"/>
    <xf numFmtId="0" fontId="4" fillId="0" borderId="13" xfId="91" applyBorder="1"/>
    <xf numFmtId="3" fontId="4" fillId="38" borderId="43" xfId="91" applyNumberFormat="1" applyFill="1" applyBorder="1"/>
    <xf numFmtId="0" fontId="4" fillId="0" borderId="0" xfId="77" applyFont="1"/>
    <xf numFmtId="1" fontId="112" fillId="0" borderId="0" xfId="91" applyNumberFormat="1" applyFont="1"/>
    <xf numFmtId="3" fontId="79" fillId="0" borderId="0" xfId="47" applyNumberFormat="1" applyFont="1" applyFill="1" applyBorder="1" applyAlignment="1">
      <alignment horizontal="center"/>
    </xf>
    <xf numFmtId="3" fontId="61" fillId="0" borderId="13" xfId="47" applyNumberFormat="1" applyFont="1" applyFill="1" applyBorder="1" applyAlignment="1">
      <alignment horizontal="center"/>
    </xf>
    <xf numFmtId="3" fontId="11" fillId="43" borderId="12" xfId="47" applyNumberFormat="1" applyFill="1" applyBorder="1" applyAlignment="1">
      <alignment horizontal="center"/>
    </xf>
    <xf numFmtId="3" fontId="11" fillId="43" borderId="10" xfId="47" applyNumberFormat="1" applyFill="1" applyBorder="1" applyAlignment="1">
      <alignment horizontal="center"/>
    </xf>
    <xf numFmtId="3" fontId="11" fillId="0" borderId="29" xfId="47" applyNumberFormat="1" applyFill="1" applyBorder="1" applyAlignment="1">
      <alignment horizontal="center"/>
    </xf>
    <xf numFmtId="3" fontId="11" fillId="0" borderId="24" xfId="47" applyNumberFormat="1" applyFill="1" applyBorder="1" applyAlignment="1">
      <alignment horizontal="center"/>
    </xf>
    <xf numFmtId="3" fontId="11" fillId="43" borderId="10" xfId="47" applyNumberFormat="1" applyFont="1" applyFill="1" applyBorder="1" applyAlignment="1">
      <alignment horizontal="center"/>
    </xf>
    <xf numFmtId="3" fontId="11" fillId="43" borderId="12" xfId="47" applyNumberFormat="1" applyFont="1" applyFill="1" applyBorder="1" applyAlignment="1">
      <alignment horizontal="center"/>
    </xf>
    <xf numFmtId="3" fontId="11" fillId="0" borderId="10" xfId="47" applyNumberFormat="1" applyFont="1" applyFill="1" applyBorder="1" applyAlignment="1">
      <alignment horizontal="center"/>
    </xf>
    <xf numFmtId="3" fontId="11" fillId="0" borderId="12" xfId="47" applyNumberFormat="1" applyFont="1" applyFill="1" applyBorder="1" applyAlignment="1">
      <alignment horizontal="center"/>
    </xf>
    <xf numFmtId="3" fontId="16" fillId="0" borderId="10" xfId="47" applyNumberFormat="1" applyFont="1" applyFill="1" applyBorder="1" applyAlignment="1">
      <alignment horizontal="center"/>
    </xf>
    <xf numFmtId="3" fontId="16" fillId="0" borderId="12" xfId="47" applyNumberFormat="1" applyFont="1" applyFill="1" applyBorder="1" applyAlignment="1">
      <alignment horizontal="center"/>
    </xf>
    <xf numFmtId="1" fontId="42" fillId="0" borderId="14" xfId="47" applyNumberFormat="1" applyFont="1" applyFill="1" applyBorder="1" applyAlignment="1">
      <alignment horizontal="left"/>
    </xf>
    <xf numFmtId="167" fontId="42" fillId="0" borderId="0" xfId="58" applyNumberFormat="1" applyFont="1" applyFill="1" applyBorder="1" applyAlignment="1">
      <alignment horizontal="right"/>
    </xf>
    <xf numFmtId="3" fontId="42" fillId="0" borderId="0" xfId="38" applyNumberFormat="1" applyFont="1" applyFill="1" applyBorder="1" applyAlignment="1">
      <alignment horizontal="right"/>
    </xf>
    <xf numFmtId="164" fontId="42" fillId="0" borderId="0" xfId="47" applyNumberFormat="1" applyFont="1" applyFill="1" applyAlignment="1">
      <alignment horizontal="right"/>
    </xf>
    <xf numFmtId="164" fontId="61" fillId="0" borderId="0" xfId="47" applyNumberFormat="1" applyFont="1" applyFill="1"/>
    <xf numFmtId="0" fontId="124" fillId="0" borderId="0" xfId="0" applyFont="1"/>
    <xf numFmtId="0" fontId="15" fillId="0" borderId="0" xfId="0" applyFont="1"/>
    <xf numFmtId="0" fontId="125" fillId="0" borderId="0" xfId="0" applyFont="1" applyAlignment="1">
      <alignment horizontal="left"/>
    </xf>
    <xf numFmtId="0" fontId="0" fillId="38" borderId="13" xfId="91" applyFont="1" applyFill="1" applyBorder="1"/>
    <xf numFmtId="0" fontId="127" fillId="0" borderId="0" xfId="91" applyFont="1"/>
    <xf numFmtId="3" fontId="4" fillId="0" borderId="13" xfId="91" applyNumberFormat="1" applyBorder="1"/>
    <xf numFmtId="3" fontId="111" fillId="0" borderId="13" xfId="91" applyNumberFormat="1" applyFont="1" applyBorder="1"/>
    <xf numFmtId="3" fontId="16" fillId="43" borderId="13" xfId="47" applyNumberFormat="1" applyFont="1" applyFill="1" applyBorder="1" applyAlignment="1">
      <alignment horizontal="center"/>
    </xf>
    <xf numFmtId="3" fontId="21" fillId="0" borderId="21" xfId="47" applyNumberFormat="1" applyFont="1" applyFill="1" applyBorder="1" applyAlignment="1">
      <alignment horizontal="right"/>
    </xf>
    <xf numFmtId="164" fontId="21" fillId="0" borderId="22" xfId="58" applyNumberFormat="1" applyFont="1" applyFill="1" applyBorder="1" applyAlignment="1">
      <alignment horizontal="right"/>
    </xf>
    <xf numFmtId="0" fontId="92" fillId="0" borderId="0" xfId="95" applyFont="1"/>
    <xf numFmtId="0" fontId="2" fillId="0" borderId="0" xfId="95"/>
    <xf numFmtId="0" fontId="93" fillId="0" borderId="0" xfId="95" applyFont="1"/>
    <xf numFmtId="0" fontId="113" fillId="31" borderId="0" xfId="95" applyFont="1" applyFill="1"/>
    <xf numFmtId="0" fontId="60" fillId="0" borderId="0" xfId="95" applyFont="1"/>
    <xf numFmtId="0" fontId="105" fillId="0" borderId="0" xfId="95" applyFont="1"/>
    <xf numFmtId="0" fontId="94" fillId="0" borderId="0" xfId="95" applyFont="1" applyAlignment="1">
      <alignment horizontal="center"/>
    </xf>
    <xf numFmtId="169" fontId="11" fillId="29" borderId="13" xfId="47" applyNumberFormat="1" applyFill="1" applyBorder="1" applyAlignment="1">
      <alignment horizontal="center"/>
    </xf>
    <xf numFmtId="0" fontId="60" fillId="0" borderId="13" xfId="95" applyFont="1" applyBorder="1"/>
    <xf numFmtId="0" fontId="21" fillId="0" borderId="10" xfId="95" applyFont="1" applyBorder="1" applyAlignment="1">
      <alignment wrapText="1"/>
    </xf>
    <xf numFmtId="0" fontId="21" fillId="0" borderId="13" xfId="95" applyFont="1" applyBorder="1" applyAlignment="1">
      <alignment wrapText="1"/>
    </xf>
    <xf numFmtId="0" fontId="21" fillId="31" borderId="13" xfId="95" applyFont="1" applyFill="1" applyBorder="1" applyAlignment="1">
      <alignment wrapText="1"/>
    </xf>
    <xf numFmtId="0" fontId="21" fillId="39" borderId="13" xfId="95" applyFont="1" applyFill="1" applyBorder="1" applyAlignment="1">
      <alignment wrapText="1"/>
    </xf>
    <xf numFmtId="0" fontId="21" fillId="35" borderId="13" xfId="95" applyFont="1" applyFill="1" applyBorder="1" applyAlignment="1">
      <alignment wrapText="1"/>
    </xf>
    <xf numFmtId="0" fontId="95" fillId="27" borderId="13" xfId="95" applyFont="1" applyFill="1" applyBorder="1" applyAlignment="1">
      <alignment wrapText="1"/>
    </xf>
    <xf numFmtId="0" fontId="95" fillId="37" borderId="13" xfId="95" applyFont="1" applyFill="1" applyBorder="1" applyAlignment="1">
      <alignment wrapText="1"/>
    </xf>
    <xf numFmtId="0" fontId="95" fillId="0" borderId="0" xfId="95" applyFont="1" applyAlignment="1">
      <alignment wrapText="1"/>
    </xf>
    <xf numFmtId="0" fontId="95" fillId="35" borderId="13" xfId="95" applyFont="1" applyFill="1" applyBorder="1" applyAlignment="1">
      <alignment wrapText="1"/>
    </xf>
    <xf numFmtId="0" fontId="95" fillId="36" borderId="13" xfId="95" applyFont="1" applyFill="1" applyBorder="1" applyAlignment="1">
      <alignment horizontal="right" wrapText="1"/>
    </xf>
    <xf numFmtId="0" fontId="95" fillId="40" borderId="13" xfId="95" applyFont="1" applyFill="1" applyBorder="1" applyAlignment="1">
      <alignment wrapText="1"/>
    </xf>
    <xf numFmtId="0" fontId="97" fillId="0" borderId="13" xfId="95" applyFont="1" applyBorder="1"/>
    <xf numFmtId="0" fontId="92" fillId="27" borderId="13" xfId="95" applyFont="1" applyFill="1" applyBorder="1" applyAlignment="1">
      <alignment horizontal="right" wrapText="1"/>
    </xf>
    <xf numFmtId="0" fontId="92" fillId="40" borderId="13" xfId="95" applyFont="1" applyFill="1" applyBorder="1" applyAlignment="1">
      <alignment horizontal="right" wrapText="1"/>
    </xf>
    <xf numFmtId="0" fontId="60" fillId="0" borderId="10" xfId="95" applyFont="1" applyBorder="1"/>
    <xf numFmtId="1" fontId="60" fillId="0" borderId="13" xfId="95" applyNumberFormat="1" applyFont="1" applyBorder="1"/>
    <xf numFmtId="4" fontId="21" fillId="0" borderId="13" xfId="95" applyNumberFormat="1" applyFont="1" applyBorder="1"/>
    <xf numFmtId="3" fontId="60" fillId="0" borderId="13" xfId="95" applyNumberFormat="1" applyFont="1" applyBorder="1"/>
    <xf numFmtId="3" fontId="60" fillId="39" borderId="13" xfId="95" applyNumberFormat="1" applyFont="1" applyFill="1" applyBorder="1"/>
    <xf numFmtId="3" fontId="60" fillId="35" borderId="13" xfId="95" applyNumberFormat="1" applyFont="1" applyFill="1" applyBorder="1"/>
    <xf numFmtId="3" fontId="92" fillId="0" borderId="13" xfId="95" applyNumberFormat="1" applyFont="1" applyBorder="1"/>
    <xf numFmtId="3" fontId="92" fillId="27" borderId="13" xfId="95" applyNumberFormat="1" applyFont="1" applyFill="1" applyBorder="1"/>
    <xf numFmtId="3" fontId="92" fillId="37" borderId="13" xfId="95" applyNumberFormat="1" applyFont="1" applyFill="1" applyBorder="1"/>
    <xf numFmtId="3" fontId="95" fillId="27" borderId="13" xfId="95" applyNumberFormat="1" applyFont="1" applyFill="1" applyBorder="1"/>
    <xf numFmtId="3" fontId="2" fillId="0" borderId="0" xfId="95" applyNumberFormat="1"/>
    <xf numFmtId="3" fontId="95" fillId="36" borderId="13" xfId="95" applyNumberFormat="1" applyFont="1" applyFill="1" applyBorder="1"/>
    <xf numFmtId="3" fontId="92" fillId="0" borderId="0" xfId="95" applyNumberFormat="1" applyFont="1"/>
    <xf numFmtId="3" fontId="95" fillId="0" borderId="0" xfId="95" applyNumberFormat="1" applyFont="1"/>
    <xf numFmtId="3" fontId="106" fillId="0" borderId="0" xfId="95" applyNumberFormat="1" applyFont="1"/>
    <xf numFmtId="0" fontId="2" fillId="0" borderId="13" xfId="95" applyBorder="1"/>
    <xf numFmtId="3" fontId="5" fillId="0" borderId="0" xfId="95" applyNumberFormat="1" applyFont="1"/>
    <xf numFmtId="0" fontId="60" fillId="33" borderId="10" xfId="95" applyFont="1" applyFill="1" applyBorder="1"/>
    <xf numFmtId="3" fontId="92" fillId="31" borderId="13" xfId="95" applyNumberFormat="1" applyFont="1" applyFill="1" applyBorder="1"/>
    <xf numFmtId="1" fontId="60" fillId="31" borderId="13" xfId="95" applyNumberFormat="1" applyFont="1" applyFill="1" applyBorder="1"/>
    <xf numFmtId="0" fontId="60" fillId="31" borderId="13" xfId="95" applyFont="1" applyFill="1" applyBorder="1"/>
    <xf numFmtId="3" fontId="60" fillId="42" borderId="13" xfId="95" applyNumberFormat="1" applyFont="1" applyFill="1" applyBorder="1"/>
    <xf numFmtId="4" fontId="60" fillId="0" borderId="13" xfId="95" applyNumberFormat="1" applyFont="1" applyBorder="1"/>
    <xf numFmtId="1" fontId="60" fillId="0" borderId="0" xfId="95" applyNumberFormat="1" applyFont="1"/>
    <xf numFmtId="4" fontId="60" fillId="0" borderId="23" xfId="95" applyNumberFormat="1" applyFont="1" applyBorder="1"/>
    <xf numFmtId="0" fontId="60" fillId="0" borderId="23" xfId="95" applyFont="1" applyBorder="1"/>
    <xf numFmtId="0" fontId="21" fillId="0" borderId="10" xfId="95" applyFont="1" applyBorder="1"/>
    <xf numFmtId="1" fontId="21" fillId="0" borderId="23" xfId="95" applyNumberFormat="1" applyFont="1" applyBorder="1"/>
    <xf numFmtId="1" fontId="21" fillId="33" borderId="23" xfId="95" applyNumberFormat="1" applyFont="1" applyFill="1" applyBorder="1"/>
    <xf numFmtId="3" fontId="23" fillId="31" borderId="23" xfId="95" applyNumberFormat="1" applyFont="1" applyFill="1" applyBorder="1"/>
    <xf numFmtId="3" fontId="21" fillId="39" borderId="23" xfId="95" applyNumberFormat="1" applyFont="1" applyFill="1" applyBorder="1"/>
    <xf numFmtId="3" fontId="95" fillId="35" borderId="23" xfId="95" applyNumberFormat="1" applyFont="1" applyFill="1" applyBorder="1"/>
    <xf numFmtId="3" fontId="95" fillId="37" borderId="13" xfId="95" applyNumberFormat="1" applyFont="1" applyFill="1" applyBorder="1"/>
    <xf numFmtId="3" fontId="95" fillId="35" borderId="13" xfId="95" applyNumberFormat="1" applyFont="1" applyFill="1" applyBorder="1"/>
    <xf numFmtId="3" fontId="95" fillId="40" borderId="13" xfId="95" applyNumberFormat="1" applyFont="1" applyFill="1" applyBorder="1"/>
    <xf numFmtId="0" fontId="2" fillId="27" borderId="13" xfId="95" applyFill="1" applyBorder="1"/>
    <xf numFmtId="3" fontId="107" fillId="34" borderId="13" xfId="95" applyNumberFormat="1" applyFont="1" applyFill="1" applyBorder="1"/>
    <xf numFmtId="3" fontId="107" fillId="40" borderId="13" xfId="95" applyNumberFormat="1" applyFont="1" applyFill="1" applyBorder="1"/>
    <xf numFmtId="4" fontId="98" fillId="0" borderId="0" xfId="95" applyNumberFormat="1" applyFont="1"/>
    <xf numFmtId="3" fontId="71" fillId="0" borderId="0" xfId="95" applyNumberFormat="1" applyFont="1"/>
    <xf numFmtId="0" fontId="71" fillId="0" borderId="0" xfId="95" applyFont="1"/>
    <xf numFmtId="0" fontId="95" fillId="0" borderId="0" xfId="95" applyFont="1"/>
    <xf numFmtId="3" fontId="97" fillId="40" borderId="13" xfId="95" applyNumberFormat="1" applyFont="1" applyFill="1" applyBorder="1"/>
    <xf numFmtId="0" fontId="2" fillId="0" borderId="0" xfId="96"/>
    <xf numFmtId="3" fontId="2" fillId="0" borderId="0" xfId="96" applyNumberFormat="1"/>
    <xf numFmtId="3" fontId="97" fillId="31" borderId="13" xfId="95" applyNumberFormat="1" applyFont="1" applyFill="1" applyBorder="1"/>
    <xf numFmtId="0" fontId="118" fillId="0" borderId="13" xfId="47" applyFont="1" applyFill="1" applyBorder="1" applyAlignment="1">
      <alignment horizontal="center" wrapText="1"/>
    </xf>
    <xf numFmtId="3" fontId="118" fillId="0" borderId="13" xfId="47" applyNumberFormat="1" applyFont="1" applyFill="1" applyBorder="1" applyAlignment="1">
      <alignment horizontal="center" wrapText="1"/>
    </xf>
    <xf numFmtId="43" fontId="120" fillId="0" borderId="16" xfId="58" applyFont="1" applyFill="1" applyBorder="1"/>
    <xf numFmtId="3" fontId="62" fillId="0" borderId="0" xfId="47" applyNumberFormat="1" applyFont="1" applyFill="1" applyAlignment="1">
      <alignment horizontal="right" vertical="top"/>
    </xf>
    <xf numFmtId="3" fontId="11" fillId="44" borderId="19" xfId="64" applyNumberFormat="1" applyFill="1" applyBorder="1"/>
    <xf numFmtId="3" fontId="11" fillId="44" borderId="0" xfId="64" applyNumberFormat="1" applyFill="1" applyAlignment="1">
      <alignment horizontal="center"/>
    </xf>
    <xf numFmtId="3" fontId="61" fillId="44" borderId="15" xfId="64" applyNumberFormat="1" applyFont="1" applyFill="1" applyBorder="1"/>
    <xf numFmtId="3" fontId="16" fillId="0" borderId="19" xfId="50" applyNumberFormat="1" applyFont="1" applyFill="1" applyBorder="1"/>
    <xf numFmtId="1" fontId="22" fillId="0" borderId="0" xfId="50" applyNumberFormat="1" applyFont="1" applyFill="1" applyBorder="1"/>
    <xf numFmtId="10" fontId="65" fillId="0" borderId="0" xfId="64" applyNumberFormat="1" applyFont="1" applyAlignment="1">
      <alignment horizontal="right"/>
    </xf>
    <xf numFmtId="1" fontId="29" fillId="0" borderId="0" xfId="64" applyNumberFormat="1" applyFont="1" applyAlignment="1">
      <alignment horizontal="left"/>
    </xf>
    <xf numFmtId="1" fontId="60" fillId="0" borderId="0" xfId="64" applyNumberFormat="1" applyFont="1" applyAlignment="1">
      <alignment horizontal="left"/>
    </xf>
    <xf numFmtId="1" fontId="60" fillId="0" borderId="0" xfId="65" applyNumberFormat="1" applyFont="1" applyAlignment="1">
      <alignment horizontal="center"/>
    </xf>
    <xf numFmtId="0" fontId="60" fillId="0" borderId="0" xfId="65" applyFont="1" applyAlignment="1">
      <alignment horizontal="center"/>
    </xf>
    <xf numFmtId="0" fontId="29" fillId="0" borderId="0" xfId="64" applyFont="1" applyAlignment="1">
      <alignment horizontal="left"/>
    </xf>
    <xf numFmtId="0" fontId="60" fillId="0" borderId="0" xfId="64" applyFont="1" applyAlignment="1">
      <alignment horizontal="left"/>
    </xf>
    <xf numFmtId="4" fontId="60" fillId="0" borderId="0" xfId="64" applyNumberFormat="1" applyFont="1" applyAlignment="1">
      <alignment horizontal="left"/>
    </xf>
    <xf numFmtId="1" fontId="71" fillId="0" borderId="0" xfId="64" applyNumberFormat="1" applyFont="1" applyAlignment="1">
      <alignment horizontal="left"/>
    </xf>
    <xf numFmtId="1" fontId="71" fillId="0" borderId="0" xfId="65" applyNumberFormat="1" applyFont="1" applyAlignment="1">
      <alignment horizontal="center"/>
    </xf>
    <xf numFmtId="0" fontId="71" fillId="0" borderId="0" xfId="65" applyFont="1" applyAlignment="1">
      <alignment horizontal="center"/>
    </xf>
    <xf numFmtId="0" fontId="71" fillId="0" borderId="0" xfId="64" applyFont="1" applyAlignment="1">
      <alignment horizontal="left"/>
    </xf>
    <xf numFmtId="4" fontId="71" fillId="0" borderId="0" xfId="64" applyNumberFormat="1" applyFont="1" applyAlignment="1">
      <alignment horizontal="left"/>
    </xf>
    <xf numFmtId="1" fontId="71" fillId="0" borderId="20" xfId="64" applyNumberFormat="1" applyFont="1" applyBorder="1" applyAlignment="1">
      <alignment horizontal="left"/>
    </xf>
    <xf numFmtId="1" fontId="71" fillId="0" borderId="20" xfId="65" applyNumberFormat="1" applyFont="1" applyBorder="1" applyAlignment="1">
      <alignment horizontal="center"/>
    </xf>
    <xf numFmtId="0" fontId="71" fillId="0" borderId="20" xfId="65" applyFont="1" applyBorder="1" applyAlignment="1">
      <alignment horizontal="center"/>
    </xf>
    <xf numFmtId="0" fontId="71" fillId="0" borderId="20" xfId="64" applyFont="1" applyBorder="1" applyAlignment="1">
      <alignment horizontal="left"/>
    </xf>
    <xf numFmtId="4" fontId="71" fillId="0" borderId="20" xfId="64" applyNumberFormat="1" applyFont="1" applyBorder="1" applyAlignment="1">
      <alignment horizontal="left"/>
    </xf>
    <xf numFmtId="1" fontId="84" fillId="30" borderId="23" xfId="64" applyNumberFormat="1" applyFont="1" applyFill="1" applyBorder="1" applyAlignment="1">
      <alignment horizontal="left"/>
    </xf>
    <xf numFmtId="1" fontId="84" fillId="30" borderId="23" xfId="65" applyNumberFormat="1" applyFont="1" applyFill="1" applyBorder="1" applyAlignment="1">
      <alignment horizontal="center"/>
    </xf>
    <xf numFmtId="0" fontId="84" fillId="30" borderId="23" xfId="65" applyFont="1" applyFill="1" applyBorder="1" applyAlignment="1">
      <alignment horizontal="center"/>
    </xf>
    <xf numFmtId="0" fontId="84" fillId="30" borderId="23" xfId="64" applyFont="1" applyFill="1" applyBorder="1" applyAlignment="1">
      <alignment horizontal="left"/>
    </xf>
    <xf numFmtId="4" fontId="84" fillId="30" borderId="23" xfId="64" applyNumberFormat="1" applyFont="1" applyFill="1" applyBorder="1" applyAlignment="1">
      <alignment horizontal="left"/>
    </xf>
    <xf numFmtId="1" fontId="71" fillId="30" borderId="13" xfId="65" applyNumberFormat="1" applyFont="1" applyFill="1" applyBorder="1" applyAlignment="1">
      <alignment horizontal="center"/>
    </xf>
    <xf numFmtId="1" fontId="72" fillId="30" borderId="13" xfId="65" applyNumberFormat="1" applyFont="1" applyFill="1" applyBorder="1" applyAlignment="1">
      <alignment horizontal="center"/>
    </xf>
    <xf numFmtId="1" fontId="71" fillId="30" borderId="13" xfId="54" applyNumberFormat="1" applyFont="1" applyFill="1" applyBorder="1" applyAlignment="1">
      <alignment horizontal="left"/>
    </xf>
    <xf numFmtId="1" fontId="71" fillId="30" borderId="13" xfId="54" applyNumberFormat="1" applyFont="1" applyFill="1" applyBorder="1" applyAlignment="1">
      <alignment horizontal="center"/>
    </xf>
    <xf numFmtId="1" fontId="71" fillId="30" borderId="13" xfId="64" applyNumberFormat="1" applyFont="1" applyFill="1" applyBorder="1" applyAlignment="1">
      <alignment horizontal="left"/>
    </xf>
    <xf numFmtId="0" fontId="71" fillId="30" borderId="13" xfId="65" applyFont="1" applyFill="1" applyBorder="1" applyAlignment="1">
      <alignment horizontal="center"/>
    </xf>
    <xf numFmtId="0" fontId="71" fillId="30" borderId="13" xfId="64" applyFont="1" applyFill="1" applyBorder="1" applyAlignment="1">
      <alignment horizontal="left"/>
    </xf>
    <xf numFmtId="4" fontId="71" fillId="30" borderId="13" xfId="64" applyNumberFormat="1" applyFont="1" applyFill="1" applyBorder="1" applyAlignment="1">
      <alignment horizontal="left"/>
    </xf>
    <xf numFmtId="3" fontId="4" fillId="0" borderId="0" xfId="91" applyNumberFormat="1"/>
    <xf numFmtId="4" fontId="41" fillId="0" borderId="14" xfId="47" applyNumberFormat="1" applyFont="1" applyFill="1" applyBorder="1"/>
    <xf numFmtId="1" fontId="68" fillId="0" borderId="0" xfId="47" applyNumberFormat="1" applyFont="1" applyFill="1" applyBorder="1"/>
    <xf numFmtId="9" fontId="69" fillId="0" borderId="0" xfId="43" applyFont="1" applyFill="1" applyBorder="1"/>
    <xf numFmtId="0" fontId="68" fillId="0" borderId="16" xfId="47" applyFont="1" applyFill="1" applyBorder="1"/>
    <xf numFmtId="4" fontId="68" fillId="0" borderId="16" xfId="47" applyNumberFormat="1" applyFont="1" applyFill="1" applyBorder="1"/>
    <xf numFmtId="2" fontId="70" fillId="0" borderId="0" xfId="47" applyNumberFormat="1" applyFont="1" applyFill="1" applyBorder="1"/>
    <xf numFmtId="0" fontId="68" fillId="0" borderId="0" xfId="47" applyFont="1" applyFill="1" applyBorder="1"/>
    <xf numFmtId="0" fontId="128" fillId="0" borderId="0" xfId="0" applyFont="1"/>
    <xf numFmtId="169" fontId="0" fillId="35" borderId="13" xfId="0" applyNumberFormat="1" applyFill="1" applyBorder="1" applyAlignment="1">
      <alignment horizontal="center"/>
    </xf>
    <xf numFmtId="0" fontId="60" fillId="35" borderId="13" xfId="76" applyFont="1" applyFill="1" applyBorder="1"/>
    <xf numFmtId="0" fontId="21" fillId="35" borderId="10" xfId="76" applyFont="1" applyFill="1" applyBorder="1" applyAlignment="1">
      <alignment wrapText="1"/>
    </xf>
    <xf numFmtId="0" fontId="21" fillId="35" borderId="13" xfId="76" applyFont="1" applyFill="1" applyBorder="1" applyAlignment="1">
      <alignment wrapText="1"/>
    </xf>
    <xf numFmtId="0" fontId="21" fillId="31" borderId="13" xfId="76" applyFont="1" applyFill="1" applyBorder="1" applyAlignment="1">
      <alignment wrapText="1"/>
    </xf>
    <xf numFmtId="6" fontId="0" fillId="0" borderId="0" xfId="0" applyNumberFormat="1"/>
    <xf numFmtId="0" fontId="60" fillId="0" borderId="13" xfId="76" applyFont="1" applyBorder="1"/>
    <xf numFmtId="0" fontId="60" fillId="0" borderId="10" xfId="76" applyFont="1" applyBorder="1"/>
    <xf numFmtId="1" fontId="60" fillId="0" borderId="13" xfId="76" applyNumberFormat="1" applyFont="1" applyBorder="1"/>
    <xf numFmtId="1" fontId="60" fillId="31" borderId="13" xfId="76" applyNumberFormat="1" applyFont="1" applyFill="1" applyBorder="1"/>
    <xf numFmtId="171" fontId="60" fillId="0" borderId="13" xfId="76" applyNumberFormat="1" applyFont="1" applyBorder="1"/>
    <xf numFmtId="172" fontId="60" fillId="0" borderId="13" xfId="76" applyNumberFormat="1" applyFont="1" applyBorder="1"/>
    <xf numFmtId="3" fontId="60" fillId="0" borderId="13" xfId="76" applyNumberFormat="1" applyFont="1" applyBorder="1"/>
    <xf numFmtId="172" fontId="0" fillId="0" borderId="0" xfId="0" applyNumberFormat="1"/>
    <xf numFmtId="0" fontId="60" fillId="33" borderId="10" xfId="76" applyFont="1" applyFill="1" applyBorder="1"/>
    <xf numFmtId="0" fontId="0" fillId="0" borderId="46" xfId="0" applyBorder="1" applyAlignment="1">
      <alignment horizontal="center" vertical="center"/>
    </xf>
    <xf numFmtId="1" fontId="11" fillId="0" borderId="0" xfId="62" applyNumberFormat="1" applyAlignment="1">
      <alignment horizontal="left"/>
    </xf>
    <xf numFmtId="0" fontId="92" fillId="0" borderId="13" xfId="76" applyFont="1" applyBorder="1"/>
    <xf numFmtId="1" fontId="60" fillId="0" borderId="0" xfId="76" applyNumberFormat="1" applyFont="1"/>
    <xf numFmtId="0" fontId="60" fillId="0" borderId="0" xfId="76" applyFont="1"/>
    <xf numFmtId="0" fontId="21" fillId="0" borderId="10" xfId="76" applyFont="1" applyBorder="1"/>
    <xf numFmtId="1" fontId="21" fillId="0" borderId="23" xfId="76" applyNumberFormat="1" applyFont="1" applyBorder="1"/>
    <xf numFmtId="1" fontId="21" fillId="31" borderId="23" xfId="76" applyNumberFormat="1" applyFont="1" applyFill="1" applyBorder="1"/>
    <xf numFmtId="3" fontId="21" fillId="0" borderId="23" xfId="76" applyNumberFormat="1" applyFont="1" applyBorder="1"/>
    <xf numFmtId="3" fontId="0" fillId="0" borderId="0" xfId="0" applyNumberFormat="1"/>
    <xf numFmtId="0" fontId="21" fillId="42" borderId="13" xfId="76" applyFont="1" applyFill="1" applyBorder="1" applyAlignment="1">
      <alignment wrapText="1"/>
    </xf>
    <xf numFmtId="0" fontId="60" fillId="42" borderId="13" xfId="76" applyFont="1" applyFill="1" applyBorder="1"/>
    <xf numFmtId="0" fontId="60" fillId="42" borderId="10" xfId="76" applyFont="1" applyFill="1" applyBorder="1"/>
    <xf numFmtId="1" fontId="60" fillId="42" borderId="13" xfId="76" applyNumberFormat="1" applyFont="1" applyFill="1" applyBorder="1"/>
    <xf numFmtId="171" fontId="60" fillId="42" borderId="13" xfId="76" applyNumberFormat="1" applyFont="1" applyFill="1" applyBorder="1"/>
    <xf numFmtId="172" fontId="60" fillId="42" borderId="13" xfId="76" applyNumberFormat="1" applyFont="1" applyFill="1" applyBorder="1"/>
    <xf numFmtId="0" fontId="0" fillId="42" borderId="0" xfId="0" applyFill="1"/>
    <xf numFmtId="3" fontId="60" fillId="42" borderId="13" xfId="76" applyNumberFormat="1" applyFont="1" applyFill="1" applyBorder="1"/>
    <xf numFmtId="172" fontId="0" fillId="42" borderId="0" xfId="0" applyNumberFormat="1" applyFill="1"/>
    <xf numFmtId="169" fontId="11" fillId="35" borderId="13" xfId="0" applyNumberFormat="1" applyFont="1" applyFill="1" applyBorder="1" applyAlignment="1">
      <alignment horizontal="center"/>
    </xf>
    <xf numFmtId="4" fontId="11" fillId="0" borderId="14" xfId="47" applyNumberFormat="1" applyFill="1" applyBorder="1"/>
    <xf numFmtId="0" fontId="21" fillId="0" borderId="16" xfId="38" applyFont="1" applyFill="1" applyBorder="1" applyAlignment="1">
      <alignment vertical="center"/>
    </xf>
    <xf numFmtId="0" fontId="60" fillId="0" borderId="13" xfId="99" applyFont="1" applyBorder="1"/>
    <xf numFmtId="0" fontId="1" fillId="0" borderId="0" xfId="98"/>
    <xf numFmtId="0" fontId="60" fillId="0" borderId="10" xfId="99" applyFont="1" applyBorder="1"/>
    <xf numFmtId="3" fontId="60" fillId="0" borderId="13" xfId="99" applyNumberFormat="1" applyFont="1" applyBorder="1"/>
    <xf numFmtId="0" fontId="60" fillId="33" borderId="10" xfId="99" applyFont="1" applyFill="1" applyBorder="1"/>
    <xf numFmtId="1" fontId="60" fillId="0" borderId="13" xfId="99" applyNumberFormat="1" applyFont="1" applyBorder="1"/>
    <xf numFmtId="1" fontId="60" fillId="0" borderId="0" xfId="99" applyNumberFormat="1" applyFont="1"/>
    <xf numFmtId="0" fontId="60" fillId="0" borderId="0" xfId="99" applyFont="1"/>
    <xf numFmtId="0" fontId="5" fillId="0" borderId="0" xfId="98" applyFont="1"/>
    <xf numFmtId="169" fontId="1" fillId="35" borderId="13" xfId="98" applyNumberFormat="1" applyFill="1" applyBorder="1" applyAlignment="1">
      <alignment horizontal="center"/>
    </xf>
    <xf numFmtId="0" fontId="60" fillId="35" borderId="13" xfId="99" applyFont="1" applyFill="1" applyBorder="1"/>
    <xf numFmtId="0" fontId="21" fillId="35" borderId="10" xfId="99" applyFont="1" applyFill="1" applyBorder="1" applyAlignment="1">
      <alignment wrapText="1"/>
    </xf>
    <xf numFmtId="0" fontId="21" fillId="35" borderId="13" xfId="99" applyFont="1" applyFill="1" applyBorder="1" applyAlignment="1">
      <alignment wrapText="1"/>
    </xf>
    <xf numFmtId="6" fontId="1" fillId="0" borderId="0" xfId="98" applyNumberFormat="1"/>
    <xf numFmtId="0" fontId="16" fillId="43" borderId="15" xfId="99" applyFont="1" applyFill="1" applyBorder="1" applyAlignment="1">
      <alignment wrapText="1"/>
    </xf>
    <xf numFmtId="0" fontId="16" fillId="41" borderId="15" xfId="99" applyFont="1" applyFill="1" applyBorder="1" applyAlignment="1">
      <alignment wrapText="1"/>
    </xf>
    <xf numFmtId="0" fontId="16" fillId="41" borderId="15" xfId="99" applyFont="1" applyFill="1" applyBorder="1" applyAlignment="1">
      <alignment horizontal="right" wrapText="1"/>
    </xf>
    <xf numFmtId="0" fontId="16" fillId="41" borderId="0" xfId="99" applyFont="1" applyFill="1" applyAlignment="1">
      <alignment horizontal="right" wrapText="1"/>
    </xf>
    <xf numFmtId="0" fontId="16" fillId="43" borderId="0" xfId="99" applyFont="1" applyFill="1" applyAlignment="1">
      <alignment horizontal="right" wrapText="1"/>
    </xf>
    <xf numFmtId="0" fontId="1" fillId="0" borderId="0" xfId="98" applyAlignment="1">
      <alignment horizontal="right" wrapText="1"/>
    </xf>
    <xf numFmtId="0" fontId="21" fillId="35" borderId="0" xfId="99" applyFont="1" applyFill="1" applyAlignment="1">
      <alignment wrapText="1"/>
    </xf>
    <xf numFmtId="0" fontId="16" fillId="43" borderId="0" xfId="99" applyFont="1" applyFill="1" applyAlignment="1">
      <alignment wrapText="1"/>
    </xf>
    <xf numFmtId="0" fontId="16" fillId="41" borderId="0" xfId="99" applyFont="1" applyFill="1" applyAlignment="1">
      <alignment wrapText="1"/>
    </xf>
    <xf numFmtId="0" fontId="97" fillId="41" borderId="0" xfId="98" applyFont="1" applyFill="1"/>
    <xf numFmtId="0" fontId="97" fillId="43" borderId="0" xfId="98" applyFont="1" applyFill="1"/>
    <xf numFmtId="171" fontId="60" fillId="0" borderId="13" xfId="99" applyNumberFormat="1" applyFont="1" applyBorder="1"/>
    <xf numFmtId="172" fontId="60" fillId="0" borderId="13" xfId="99" applyNumberFormat="1" applyFont="1" applyBorder="1"/>
    <xf numFmtId="172" fontId="1" fillId="0" borderId="0" xfId="98" applyNumberFormat="1"/>
    <xf numFmtId="43" fontId="0" fillId="0" borderId="0" xfId="100" applyFont="1"/>
    <xf numFmtId="3" fontId="1" fillId="0" borderId="0" xfId="98" applyNumberFormat="1"/>
    <xf numFmtId="167" fontId="0" fillId="0" borderId="0" xfId="100" applyNumberFormat="1" applyFont="1"/>
    <xf numFmtId="167" fontId="97" fillId="41" borderId="0" xfId="98" applyNumberFormat="1" applyFont="1" applyFill="1"/>
    <xf numFmtId="172" fontId="97" fillId="41" borderId="0" xfId="98" applyNumberFormat="1" applyFont="1" applyFill="1"/>
    <xf numFmtId="172" fontId="97" fillId="43" borderId="0" xfId="98" applyNumberFormat="1" applyFont="1" applyFill="1"/>
    <xf numFmtId="172" fontId="5" fillId="0" borderId="0" xfId="98" applyNumberFormat="1" applyFont="1"/>
    <xf numFmtId="167" fontId="16" fillId="31" borderId="0" xfId="48" quotePrefix="1" applyNumberFormat="1" applyFont="1" applyFill="1" applyBorder="1"/>
    <xf numFmtId="167" fontId="16" fillId="0" borderId="0" xfId="48" quotePrefix="1" applyNumberFormat="1" applyFont="1" applyFill="1" applyBorder="1"/>
    <xf numFmtId="0" fontId="126" fillId="0" borderId="13" xfId="99" applyFont="1" applyBorder="1"/>
    <xf numFmtId="0" fontId="21" fillId="0" borderId="10" xfId="99" applyFont="1" applyBorder="1"/>
    <xf numFmtId="1" fontId="21" fillId="0" borderId="23" xfId="99" applyNumberFormat="1" applyFont="1" applyBorder="1"/>
    <xf numFmtId="3" fontId="21" fillId="0" borderId="23" xfId="99" applyNumberFormat="1" applyFont="1" applyBorder="1"/>
    <xf numFmtId="3" fontId="21" fillId="0" borderId="15" xfId="99" applyNumberFormat="1" applyFont="1" applyBorder="1"/>
    <xf numFmtId="167" fontId="97" fillId="41" borderId="0" xfId="100" applyNumberFormat="1" applyFont="1" applyFill="1"/>
    <xf numFmtId="167" fontId="97" fillId="43" borderId="0" xfId="98" applyNumberFormat="1" applyFont="1" applyFill="1"/>
    <xf numFmtId="167" fontId="1" fillId="0" borderId="0" xfId="98" applyNumberFormat="1"/>
    <xf numFmtId="3" fontId="21" fillId="0" borderId="0" xfId="99" applyNumberFormat="1" applyFont="1"/>
    <xf numFmtId="1" fontId="41" fillId="0" borderId="0" xfId="47" applyNumberFormat="1" applyFont="1" applyFill="1" applyBorder="1"/>
    <xf numFmtId="9" fontId="116" fillId="0" borderId="0" xfId="43" applyFont="1" applyFill="1" applyBorder="1"/>
    <xf numFmtId="2" fontId="41" fillId="0" borderId="0" xfId="47" applyNumberFormat="1" applyFont="1" applyFill="1" applyBorder="1"/>
    <xf numFmtId="1" fontId="41" fillId="0" borderId="13" xfId="47" applyNumberFormat="1" applyFont="1" applyFill="1" applyBorder="1"/>
    <xf numFmtId="2" fontId="61" fillId="0" borderId="13" xfId="47" applyNumberFormat="1" applyFont="1" applyFill="1" applyBorder="1"/>
    <xf numFmtId="4" fontId="11" fillId="43" borderId="13" xfId="47" applyNumberFormat="1" applyFont="1" applyFill="1" applyBorder="1"/>
    <xf numFmtId="1" fontId="11" fillId="43" borderId="13" xfId="47" applyNumberFormat="1" applyFont="1" applyFill="1" applyBorder="1"/>
    <xf numFmtId="2" fontId="11" fillId="43" borderId="13" xfId="47" applyNumberFormat="1" applyFont="1" applyFill="1" applyBorder="1"/>
    <xf numFmtId="0" fontId="118" fillId="0" borderId="10" xfId="47" applyFont="1" applyFill="1" applyBorder="1" applyAlignment="1">
      <alignment horizontal="center"/>
    </xf>
    <xf numFmtId="0" fontId="118" fillId="0" borderId="12" xfId="47" applyFont="1" applyFill="1" applyBorder="1" applyAlignment="1">
      <alignment horizontal="center"/>
    </xf>
    <xf numFmtId="0" fontId="60" fillId="42" borderId="13" xfId="99" applyFont="1" applyFill="1" applyBorder="1"/>
    <xf numFmtId="0" fontId="60" fillId="42" borderId="10" xfId="99" applyFont="1" applyFill="1" applyBorder="1"/>
    <xf numFmtId="1" fontId="60" fillId="42" borderId="13" xfId="99" applyNumberFormat="1" applyFont="1" applyFill="1" applyBorder="1"/>
    <xf numFmtId="171" fontId="60" fillId="42" borderId="13" xfId="99" applyNumberFormat="1" applyFont="1" applyFill="1" applyBorder="1"/>
    <xf numFmtId="172" fontId="60" fillId="42" borderId="13" xfId="99" applyNumberFormat="1" applyFont="1" applyFill="1" applyBorder="1"/>
    <xf numFmtId="0" fontId="1" fillId="42" borderId="0" xfId="98" applyFill="1"/>
    <xf numFmtId="3" fontId="60" fillId="42" borderId="13" xfId="99" applyNumberFormat="1" applyFont="1" applyFill="1" applyBorder="1"/>
    <xf numFmtId="172" fontId="1" fillId="42" borderId="0" xfId="98" applyNumberFormat="1" applyFill="1"/>
    <xf numFmtId="43" fontId="0" fillId="42" borderId="0" xfId="100" applyFont="1" applyFill="1"/>
    <xf numFmtId="3" fontId="1" fillId="42" borderId="0" xfId="98" applyNumberFormat="1" applyFill="1"/>
    <xf numFmtId="167" fontId="0" fillId="42" borderId="0" xfId="100" applyNumberFormat="1" applyFont="1" applyFill="1"/>
    <xf numFmtId="167" fontId="97" fillId="42" borderId="0" xfId="98" applyNumberFormat="1" applyFont="1" applyFill="1"/>
    <xf numFmtId="172" fontId="97" fillId="42" borderId="0" xfId="98" applyNumberFormat="1" applyFont="1" applyFill="1"/>
    <xf numFmtId="0" fontId="5" fillId="42" borderId="0" xfId="98" applyFont="1" applyFill="1"/>
    <xf numFmtId="167" fontId="16" fillId="42" borderId="0" xfId="48" quotePrefix="1" applyNumberFormat="1" applyFont="1" applyFill="1" applyBorder="1"/>
    <xf numFmtId="172" fontId="5" fillId="42" borderId="0" xfId="98" applyNumberFormat="1" applyFont="1" applyFill="1"/>
    <xf numFmtId="3" fontId="16" fillId="0" borderId="0" xfId="47" applyNumberFormat="1" applyFont="1" applyFill="1" applyAlignment="1">
      <alignment horizontal="left"/>
    </xf>
    <xf numFmtId="0" fontId="21" fillId="0" borderId="0" xfId="38" applyFont="1" applyFill="1" applyBorder="1" applyAlignment="1">
      <alignment horizontal="center" vertical="center"/>
    </xf>
    <xf numFmtId="3" fontId="11" fillId="0" borderId="0" xfId="47" applyNumberFormat="1" applyFont="1" applyFill="1" applyAlignment="1">
      <alignment horizontal="right"/>
    </xf>
    <xf numFmtId="3" fontId="16" fillId="0" borderId="39" xfId="47" applyNumberFormat="1" applyFont="1" applyFill="1" applyBorder="1" applyAlignment="1">
      <alignment horizontal="right"/>
    </xf>
    <xf numFmtId="164" fontId="16" fillId="0" borderId="0" xfId="47" applyNumberFormat="1" applyFont="1" applyFill="1" applyBorder="1" applyAlignment="1">
      <alignment horizontal="right"/>
    </xf>
    <xf numFmtId="165" fontId="87" fillId="0" borderId="0" xfId="47" applyNumberFormat="1" applyFont="1" applyFill="1" applyBorder="1" applyAlignment="1">
      <alignment horizontal="right"/>
    </xf>
    <xf numFmtId="0" fontId="21" fillId="0" borderId="41" xfId="38" applyFont="1" applyFill="1" applyBorder="1" applyAlignment="1">
      <alignment vertical="center"/>
    </xf>
    <xf numFmtId="1" fontId="71" fillId="30" borderId="12" xfId="0" applyNumberFormat="1" applyFont="1" applyFill="1" applyBorder="1" applyAlignment="1">
      <alignment horizontal="left"/>
    </xf>
    <xf numFmtId="1" fontId="71" fillId="30" borderId="13" xfId="0" applyNumberFormat="1" applyFont="1" applyFill="1" applyBorder="1" applyAlignment="1">
      <alignment horizontal="left"/>
    </xf>
    <xf numFmtId="0" fontId="71" fillId="30" borderId="13" xfId="0" applyFont="1" applyFill="1" applyBorder="1" applyAlignment="1">
      <alignment horizontal="center"/>
    </xf>
    <xf numFmtId="0" fontId="71" fillId="30" borderId="13" xfId="0" applyFont="1" applyFill="1" applyBorder="1" applyAlignment="1">
      <alignment horizontal="left"/>
    </xf>
    <xf numFmtId="4" fontId="71" fillId="30" borderId="13" xfId="0" applyNumberFormat="1" applyFont="1" applyFill="1" applyBorder="1" applyAlignment="1">
      <alignment horizontal="left"/>
    </xf>
    <xf numFmtId="1" fontId="72" fillId="30" borderId="13" xfId="0" applyNumberFormat="1" applyFont="1" applyFill="1" applyBorder="1" applyAlignment="1">
      <alignment horizontal="left"/>
    </xf>
    <xf numFmtId="1" fontId="71" fillId="30" borderId="13" xfId="0" applyNumberFormat="1" applyFont="1" applyFill="1" applyBorder="1" applyAlignment="1">
      <alignment horizontal="center"/>
    </xf>
    <xf numFmtId="4" fontId="61" fillId="0" borderId="16" xfId="47" applyNumberFormat="1" applyFont="1" applyFill="1" applyBorder="1"/>
    <xf numFmtId="1" fontId="11" fillId="0" borderId="0" xfId="47" applyNumberFormat="1" applyFont="1" applyFill="1" applyBorder="1"/>
    <xf numFmtId="3" fontId="11" fillId="0" borderId="15" xfId="47" applyNumberFormat="1" applyFont="1" applyFill="1" applyBorder="1" applyAlignment="1">
      <alignment horizontal="right"/>
    </xf>
    <xf numFmtId="3" fontId="61" fillId="0" borderId="14" xfId="47" applyNumberFormat="1" applyFont="1" applyFill="1" applyBorder="1" applyAlignment="1">
      <alignment horizontal="left"/>
    </xf>
    <xf numFmtId="0" fontId="61" fillId="0" borderId="16" xfId="47" applyFont="1" applyFill="1" applyBorder="1"/>
    <xf numFmtId="165" fontId="42" fillId="0" borderId="0" xfId="47" applyNumberFormat="1" applyFont="1" applyFill="1" applyAlignment="1">
      <alignment horizontal="right"/>
    </xf>
    <xf numFmtId="9" fontId="61" fillId="0" borderId="0" xfId="43" applyFont="1" applyFill="1"/>
    <xf numFmtId="3" fontId="11" fillId="0" borderId="47" xfId="47" applyNumberFormat="1" applyFont="1" applyFill="1" applyBorder="1"/>
    <xf numFmtId="3" fontId="11" fillId="0" borderId="40" xfId="47" applyNumberFormat="1" applyFont="1" applyFill="1" applyBorder="1"/>
    <xf numFmtId="3" fontId="11" fillId="0" borderId="40" xfId="38" applyNumberFormat="1" applyFont="1" applyFill="1" applyBorder="1" applyAlignment="1">
      <alignment horizontal="right"/>
    </xf>
    <xf numFmtId="0" fontId="117" fillId="0" borderId="0" xfId="34" applyNumberFormat="1" applyFont="1" applyFill="1" applyBorder="1" applyAlignment="1" applyProtection="1">
      <alignment horizontal="right" vertical="center"/>
    </xf>
    <xf numFmtId="0" fontId="4" fillId="38" borderId="13" xfId="77" applyFont="1" applyFill="1" applyBorder="1"/>
    <xf numFmtId="170" fontId="111" fillId="0" borderId="13" xfId="77" applyNumberFormat="1" applyFont="1" applyBorder="1" applyAlignment="1">
      <alignment horizontal="right" wrapText="1"/>
    </xf>
    <xf numFmtId="3" fontId="4" fillId="0" borderId="48" xfId="91" applyNumberFormat="1" applyBorder="1"/>
    <xf numFmtId="3" fontId="111" fillId="0" borderId="13" xfId="77" applyNumberFormat="1" applyFont="1" applyBorder="1"/>
    <xf numFmtId="3" fontId="111" fillId="0" borderId="45" xfId="77" applyNumberFormat="1" applyFont="1" applyBorder="1"/>
    <xf numFmtId="3" fontId="111" fillId="0" borderId="0" xfId="91" applyNumberFormat="1" applyFont="1"/>
    <xf numFmtId="10" fontId="11" fillId="0" borderId="16" xfId="57" applyNumberFormat="1" applyFont="1" applyFill="1" applyBorder="1"/>
    <xf numFmtId="0" fontId="38" fillId="0" borderId="26" xfId="34" applyFont="1" applyBorder="1" applyAlignment="1" applyProtection="1">
      <alignment horizontal="center" vertical="center"/>
    </xf>
    <xf numFmtId="0" fontId="38" fillId="0" borderId="21" xfId="34" applyFont="1" applyBorder="1" applyAlignment="1" applyProtection="1">
      <alignment horizontal="center" vertical="center"/>
    </xf>
    <xf numFmtId="0" fontId="38" fillId="0" borderId="22" xfId="34" applyFont="1" applyBorder="1" applyAlignment="1" applyProtection="1">
      <alignment horizontal="center" vertical="center"/>
    </xf>
    <xf numFmtId="3" fontId="12" fillId="0" borderId="31" xfId="34" applyNumberFormat="1" applyFill="1" applyBorder="1" applyAlignment="1" applyProtection="1">
      <alignment horizontal="center" vertical="center" wrapText="1"/>
    </xf>
    <xf numFmtId="3" fontId="12" fillId="0" borderId="32" xfId="34" applyNumberFormat="1" applyFill="1" applyBorder="1" applyAlignment="1" applyProtection="1">
      <alignment horizontal="center" vertical="center" wrapText="1"/>
    </xf>
    <xf numFmtId="3" fontId="12" fillId="0" borderId="33" xfId="34" applyNumberFormat="1" applyFill="1" applyBorder="1" applyAlignment="1" applyProtection="1">
      <alignment horizontal="center" vertical="center" wrapText="1"/>
    </xf>
    <xf numFmtId="3" fontId="12" fillId="0" borderId="34" xfId="34" applyNumberFormat="1" applyFill="1" applyBorder="1" applyAlignment="1" applyProtection="1">
      <alignment horizontal="center" vertical="center" wrapText="1"/>
    </xf>
    <xf numFmtId="0" fontId="60" fillId="28" borderId="15" xfId="47" applyFont="1" applyFill="1" applyBorder="1" applyAlignment="1">
      <alignment horizontal="center" vertical="center" wrapText="1"/>
    </xf>
    <xf numFmtId="22" fontId="114" fillId="0" borderId="0" xfId="77" applyNumberFormat="1" applyFont="1" applyAlignment="1">
      <alignment horizontal="center"/>
    </xf>
    <xf numFmtId="0" fontId="97" fillId="45" borderId="0" xfId="98" applyFont="1" applyFill="1" applyAlignment="1">
      <alignment horizontal="center"/>
    </xf>
    <xf numFmtId="0" fontId="97" fillId="43" borderId="0" xfId="98" applyFont="1" applyFill="1" applyAlignment="1">
      <alignment horizontal="center"/>
    </xf>
    <xf numFmtId="3" fontId="16" fillId="0" borderId="27" xfId="64" applyNumberFormat="1" applyFont="1" applyBorder="1" applyAlignment="1">
      <alignment horizontal="center"/>
    </xf>
    <xf numFmtId="3" fontId="16" fillId="0" borderId="25" xfId="64" applyNumberFormat="1" applyFont="1" applyBorder="1" applyAlignment="1">
      <alignment horizontal="center"/>
    </xf>
    <xf numFmtId="3" fontId="79" fillId="0" borderId="0" xfId="47" applyNumberFormat="1" applyFont="1" applyFill="1" applyBorder="1" applyAlignment="1">
      <alignment horizontal="center"/>
    </xf>
    <xf numFmtId="3" fontId="11" fillId="0" borderId="11" xfId="47" applyNumberFormat="1" applyBorder="1" applyAlignment="1">
      <alignment horizontal="center"/>
    </xf>
    <xf numFmtId="3" fontId="11" fillId="0" borderId="12" xfId="47" applyNumberFormat="1" applyBorder="1" applyAlignment="1">
      <alignment horizontal="center"/>
    </xf>
    <xf numFmtId="3" fontId="11" fillId="0" borderId="10" xfId="47" applyNumberFormat="1" applyBorder="1" applyAlignment="1">
      <alignment horizontal="center"/>
    </xf>
    <xf numFmtId="3" fontId="11" fillId="0" borderId="29" xfId="47" applyNumberFormat="1" applyFill="1" applyBorder="1" applyAlignment="1">
      <alignment horizontal="center"/>
    </xf>
    <xf numFmtId="3" fontId="11" fillId="0" borderId="24" xfId="47" applyNumberFormat="1" applyFill="1" applyBorder="1" applyAlignment="1">
      <alignment horizontal="center"/>
    </xf>
    <xf numFmtId="3" fontId="11" fillId="0" borderId="29" xfId="47" applyNumberFormat="1" applyBorder="1" applyAlignment="1">
      <alignment horizontal="center"/>
    </xf>
    <xf numFmtId="3" fontId="11" fillId="0" borderId="24" xfId="47" applyNumberFormat="1" applyBorder="1" applyAlignment="1">
      <alignment horizontal="center"/>
    </xf>
    <xf numFmtId="0" fontId="41" fillId="0" borderId="0" xfId="47" applyFont="1" applyBorder="1" applyAlignment="1">
      <alignment horizontal="right"/>
    </xf>
    <xf numFmtId="0" fontId="16" fillId="28" borderId="13" xfId="47" applyFont="1" applyFill="1" applyBorder="1" applyAlignment="1">
      <alignment horizontal="center"/>
    </xf>
    <xf numFmtId="3" fontId="16" fillId="28" borderId="13" xfId="47" applyNumberFormat="1" applyFont="1" applyFill="1" applyBorder="1" applyAlignment="1">
      <alignment horizontal="center"/>
    </xf>
    <xf numFmtId="3" fontId="12" fillId="32" borderId="31" xfId="34" applyNumberFormat="1" applyFill="1" applyBorder="1" applyAlignment="1" applyProtection="1">
      <alignment horizontal="center" vertical="center" wrapText="1"/>
    </xf>
    <xf numFmtId="3" fontId="12" fillId="32" borderId="32" xfId="34" applyNumberFormat="1" applyFill="1" applyBorder="1" applyAlignment="1" applyProtection="1">
      <alignment horizontal="center" vertical="center" wrapText="1"/>
    </xf>
    <xf numFmtId="3" fontId="12" fillId="32" borderId="33" xfId="34" applyNumberFormat="1" applyFill="1" applyBorder="1" applyAlignment="1" applyProtection="1">
      <alignment horizontal="center" vertical="center" wrapText="1"/>
    </xf>
    <xf numFmtId="3" fontId="12" fillId="32" borderId="34" xfId="34" applyNumberFormat="1" applyFill="1" applyBorder="1" applyAlignment="1" applyProtection="1">
      <alignment horizontal="center" vertical="center" wrapText="1"/>
    </xf>
  </cellXfs>
  <cellStyles count="101">
    <cellStyle name="%" xfId="49" xr:uid="{00000000-0005-0000-0000-000000000000}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58" builtinId="3"/>
    <cellStyle name="Comma 2" xfId="48" xr:uid="{00000000-0005-0000-0000-00001D000000}"/>
    <cellStyle name="Comma 2 2" xfId="66" xr:uid="{00000000-0005-0000-0000-00001E000000}"/>
    <cellStyle name="Comma 3" xfId="50" xr:uid="{00000000-0005-0000-0000-00001F000000}"/>
    <cellStyle name="Comma 4" xfId="67" xr:uid="{00000000-0005-0000-0000-000020000000}"/>
    <cellStyle name="Comma 5" xfId="79" xr:uid="{00000000-0005-0000-0000-000021000000}"/>
    <cellStyle name="Comma 6" xfId="86" xr:uid="{00000000-0005-0000-0000-000022000000}"/>
    <cellStyle name="Comma 6 2" xfId="87" xr:uid="{00000000-0005-0000-0000-000023000000}"/>
    <cellStyle name="Comma 7" xfId="97" xr:uid="{6F21CF58-3E04-4563-A13C-FF14715F38EE}"/>
    <cellStyle name="Comma 8" xfId="100" xr:uid="{EA53C108-1E80-4EA2-B513-119C2D2261B6}"/>
    <cellStyle name="Currency 2" xfId="51" xr:uid="{00000000-0005-0000-0000-000024000000}"/>
    <cellStyle name="Currency 2 2" xfId="68" xr:uid="{00000000-0005-0000-0000-000025000000}"/>
    <cellStyle name="Currency 3" xfId="52" xr:uid="{00000000-0005-0000-0000-000026000000}"/>
    <cellStyle name="Currency 4" xfId="85" xr:uid="{00000000-0005-0000-0000-000027000000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Hyperlink 2" xfId="60" xr:uid="{00000000-0005-0000-0000-00002F000000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10" xfId="69" xr:uid="{00000000-0005-0000-0000-000034000000}"/>
    <cellStyle name="Normal 11" xfId="80" xr:uid="{00000000-0005-0000-0000-000035000000}"/>
    <cellStyle name="Normal 11 2 10" xfId="81" xr:uid="{00000000-0005-0000-0000-000036000000}"/>
    <cellStyle name="Normal 12" xfId="88" xr:uid="{00000000-0005-0000-0000-000037000000}"/>
    <cellStyle name="Normal 12 2" xfId="89" xr:uid="{00000000-0005-0000-0000-000038000000}"/>
    <cellStyle name="Normal 13" xfId="92" xr:uid="{730232D1-B660-4C79-9172-97909F13E2AC}"/>
    <cellStyle name="Normal 14" xfId="98" xr:uid="{725C14F1-ED1F-4C6D-B398-812F56586063}"/>
    <cellStyle name="Normal 2" xfId="47" xr:uid="{00000000-0005-0000-0000-000039000000}"/>
    <cellStyle name="Normal 2 2" xfId="53" xr:uid="{00000000-0005-0000-0000-00003A000000}"/>
    <cellStyle name="Normal 2 3" xfId="70" xr:uid="{00000000-0005-0000-0000-00003B000000}"/>
    <cellStyle name="Normal 2 4" xfId="64" xr:uid="{00000000-0005-0000-0000-00003C000000}"/>
    <cellStyle name="Normal 2 5" xfId="77" xr:uid="{00000000-0005-0000-0000-00003D000000}"/>
    <cellStyle name="Normal 2 5 2" xfId="94" xr:uid="{69386D8A-943E-417B-B9F8-697CE8C7688D}"/>
    <cellStyle name="Normal 2 6" xfId="83" xr:uid="{00000000-0005-0000-0000-00003E000000}"/>
    <cellStyle name="Normal 2 7" xfId="91" xr:uid="{DC493A9E-4D53-4464-A00A-B340F82A3318}"/>
    <cellStyle name="Normal 22" xfId="71" xr:uid="{00000000-0005-0000-0000-00003F000000}"/>
    <cellStyle name="Normal 3" xfId="54" xr:uid="{00000000-0005-0000-0000-000040000000}"/>
    <cellStyle name="Normal 3 3" xfId="82" xr:uid="{00000000-0005-0000-0000-000041000000}"/>
    <cellStyle name="Normal 4" xfId="55" xr:uid="{00000000-0005-0000-0000-000042000000}"/>
    <cellStyle name="Normal 5" xfId="59" xr:uid="{00000000-0005-0000-0000-000043000000}"/>
    <cellStyle name="Normal 5 2" xfId="61" xr:uid="{00000000-0005-0000-0000-000044000000}"/>
    <cellStyle name="Normal 5 3" xfId="65" xr:uid="{00000000-0005-0000-0000-000045000000}"/>
    <cellStyle name="Normal 6" xfId="62" xr:uid="{00000000-0005-0000-0000-000046000000}"/>
    <cellStyle name="Normal 7" xfId="63" xr:uid="{00000000-0005-0000-0000-000047000000}"/>
    <cellStyle name="Normal 7 2" xfId="72" xr:uid="{00000000-0005-0000-0000-000048000000}"/>
    <cellStyle name="Normal 8" xfId="73" xr:uid="{00000000-0005-0000-0000-000049000000}"/>
    <cellStyle name="Normal 8 2" xfId="78" xr:uid="{00000000-0005-0000-0000-00004A000000}"/>
    <cellStyle name="Normal 8 2 2" xfId="96" xr:uid="{DC1E8403-29FB-4D0F-9054-180AC6FECE1B}"/>
    <cellStyle name="Normal 8 3" xfId="76" xr:uid="{00000000-0005-0000-0000-00004B000000}"/>
    <cellStyle name="Normal 8 3 2" xfId="93" xr:uid="{D1D9C5C8-0A40-4D35-A5C5-CF28FE9C5A0D}"/>
    <cellStyle name="Normal 8 3 3" xfId="95" xr:uid="{CCDB0E2D-A855-4D52-AFBC-B5CEEEA8B961}"/>
    <cellStyle name="Normal 8 3 4" xfId="99" xr:uid="{6CD98A19-A1F9-4582-B935-0895799F0B3C}"/>
    <cellStyle name="Normal 9" xfId="74" xr:uid="{00000000-0005-0000-0000-00004C000000}"/>
    <cellStyle name="Normal 9 2" xfId="84" xr:uid="{00000000-0005-0000-0000-00004D000000}"/>
    <cellStyle name="Normal_Book3" xfId="38" xr:uid="{00000000-0005-0000-0000-00004E000000}"/>
    <cellStyle name="Normal_FREML94S" xfId="39" xr:uid="{00000000-0005-0000-0000-00004F000000}"/>
    <cellStyle name="Note" xfId="40" builtinId="10" customBuiltin="1"/>
    <cellStyle name="Number" xfId="41" xr:uid="{00000000-0005-0000-0000-000051000000}"/>
    <cellStyle name="Output" xfId="42" builtinId="21" customBuiltin="1"/>
    <cellStyle name="Percent" xfId="43" builtinId="5"/>
    <cellStyle name="Percent 2" xfId="56" xr:uid="{00000000-0005-0000-0000-000054000000}"/>
    <cellStyle name="Percent 2 2" xfId="57" xr:uid="{00000000-0005-0000-0000-000055000000}"/>
    <cellStyle name="Percent 3" xfId="75" xr:uid="{00000000-0005-0000-0000-000056000000}"/>
    <cellStyle name="Percent 4" xfId="90" xr:uid="{00000000-0005-0000-0000-000057000000}"/>
    <cellStyle name="Title" xfId="44" builtinId="15" customBuiltin="1"/>
    <cellStyle name="Total" xfId="45" builtinId="25" customBuiltin="1"/>
    <cellStyle name="Warning Text" xfId="46" builtinId="11" customBuiltin="1"/>
  </cellStyles>
  <dxfs count="1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Drop" dropStyle="combo" dx="20" fmlaLink="B4" fmlaRange="$B$82:$C$142" noThreeD="1" sel="13" val="6"/>
</file>

<file path=xl/ctrlProps/ctrlProp2.xml><?xml version="1.0" encoding="utf-8"?>
<formControlPr xmlns="http://schemas.microsoft.com/office/spreadsheetml/2009/9/main" objectType="Drop" dropStyle="combo" dx="20" fmlaLink="B4" fmlaRange="$B$80:$C$83" noThreeD="1" sel="1" val="0"/>
</file>

<file path=xl/ctrlProps/ctrlProp3.xml><?xml version="1.0" encoding="utf-8"?>
<formControlPr xmlns="http://schemas.microsoft.com/office/spreadsheetml/2009/9/main" objectType="Drop" dropStyle="combo" dx="20" fmlaLink="B4" fmlaRange="$B$94:$C$96" noThreeD="1" sel="3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274320</xdr:colOff>
      <xdr:row>13</xdr:row>
      <xdr:rowOff>182880</xdr:rowOff>
    </xdr:from>
    <xdr:to>
      <xdr:col>9</xdr:col>
      <xdr:colOff>579120</xdr:colOff>
      <xdr:row>16</xdr:row>
      <xdr:rowOff>214630</xdr:rowOff>
    </xdr:to>
    <xdr:pic>
      <xdr:nvPicPr>
        <xdr:cNvPr id="7173" name="Picture 5" descr="logo-sheffield-city-council">
          <a:extLst>
            <a:ext uri="{FF2B5EF4-FFF2-40B4-BE49-F238E27FC236}">
              <a16:creationId xmlns:a16="http://schemas.microsoft.com/office/drawing/2014/main" id="{00000000-0008-0000-00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2842260"/>
          <a:ext cx="914400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251460</xdr:colOff>
      <xdr:row>1</xdr:row>
      <xdr:rowOff>38100</xdr:rowOff>
    </xdr:from>
    <xdr:to>
      <xdr:col>7</xdr:col>
      <xdr:colOff>548640</xdr:colOff>
      <xdr:row>33</xdr:row>
      <xdr:rowOff>91440</xdr:rowOff>
    </xdr:to>
    <xdr:sp macro="" textlink="">
      <xdr:nvSpPr>
        <xdr:cNvPr id="9217" name="Text Box 1">
          <a:extLst>
            <a:ext uri="{FF2B5EF4-FFF2-40B4-BE49-F238E27FC236}">
              <a16:creationId xmlns:a16="http://schemas.microsoft.com/office/drawing/2014/main" id="{00000000-0008-0000-0100-000001240000}"/>
            </a:ext>
          </a:extLst>
        </xdr:cNvPr>
        <xdr:cNvSpPr txBox="1">
          <a:spLocks noChangeArrowheads="1"/>
        </xdr:cNvSpPr>
      </xdr:nvSpPr>
      <xdr:spPr bwMode="auto">
        <a:xfrm>
          <a:off x="6477000" y="350520"/>
          <a:ext cx="2796540" cy="61188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000" b="1" i="0" u="sng" strike="noStrike" baseline="0">
              <a:solidFill>
                <a:sysClr val="windowText" lastClr="000000"/>
              </a:solidFill>
              <a:latin typeface="Arial"/>
              <a:cs typeface="Arial"/>
            </a:rPr>
            <a:t>Necessary Computer Spreadsheet Settings</a:t>
          </a: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 ensure that the downloadable school budget Excel spreadsheets below work on your computer, please follow this procedure: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Save the selected spreadsheet file on your computer.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When loading the spreadsheet: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say "yes" to enable macros to run,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say "no" to updating links to other files.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Select the link on this page to the report you wish to look at.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Select the down-pointing arrow to the right of the school-name box to find the school you wish to look at.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</a:t>
          </a:r>
          <a:r>
            <a:rPr lang="en-GB" sz="1000" b="1" i="1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if the school-name selection box does not work on your computer,</a:t>
          </a: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please ensure that your Microsoft Excel security level is set to a medium level, which will allow the necessary macros to function. To do this please select the following commands in Excel 10, and then reload the spreadsheet: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Developer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Macro Security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Disable all macros with notification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OK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If you are using an older version of Excel you need the following commands: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Tools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Macros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Security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Security Level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Medium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OK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</xdr:row>
          <xdr:rowOff>31750</xdr:rowOff>
        </xdr:from>
        <xdr:to>
          <xdr:col>3</xdr:col>
          <xdr:colOff>146050</xdr:colOff>
          <xdr:row>2</xdr:row>
          <xdr:rowOff>6350</xdr:rowOff>
        </xdr:to>
        <xdr:sp macro="" textlink="">
          <xdr:nvSpPr>
            <xdr:cNvPr id="57348" name="Drop Down 4" descr="Drop down list of Maintained Primary Schools" hidden="1">
              <a:extLst>
                <a:ext uri="{63B3BB69-23CF-44E3-9099-C40C66FF867C}">
                  <a14:compatExt spid="_x0000_s57348"/>
                </a:ext>
                <a:ext uri="{FF2B5EF4-FFF2-40B4-BE49-F238E27FC236}">
                  <a16:creationId xmlns:a16="http://schemas.microsoft.com/office/drawing/2014/main" id="{00000000-0008-0000-0200-00000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</xdr:row>
          <xdr:rowOff>69850</xdr:rowOff>
        </xdr:from>
        <xdr:to>
          <xdr:col>2</xdr:col>
          <xdr:colOff>196850</xdr:colOff>
          <xdr:row>1</xdr:row>
          <xdr:rowOff>298450</xdr:rowOff>
        </xdr:to>
        <xdr:sp macro="" textlink="">
          <xdr:nvSpPr>
            <xdr:cNvPr id="59396" name="Drop Down 4" descr="Drop down list of Maintained Secondary Schools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3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2</xdr:row>
          <xdr:rowOff>6350</xdr:rowOff>
        </xdr:from>
        <xdr:to>
          <xdr:col>3</xdr:col>
          <xdr:colOff>336550</xdr:colOff>
          <xdr:row>3</xdr:row>
          <xdr:rowOff>139700</xdr:rowOff>
        </xdr:to>
        <xdr:sp macro="" textlink="">
          <xdr:nvSpPr>
            <xdr:cNvPr id="121857" name="ComboBox1" descr="Drop down list of schools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7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</xdr:row>
          <xdr:rowOff>69850</xdr:rowOff>
        </xdr:from>
        <xdr:to>
          <xdr:col>1</xdr:col>
          <xdr:colOff>2235200</xdr:colOff>
          <xdr:row>1</xdr:row>
          <xdr:rowOff>298450</xdr:rowOff>
        </xdr:to>
        <xdr:sp macro="" textlink="">
          <xdr:nvSpPr>
            <xdr:cNvPr id="112642" name="Drop Down 2" hidden="1">
              <a:extLst>
                <a:ext uri="{63B3BB69-23CF-44E3-9099-C40C66FF867C}">
                  <a14:compatExt spid="_x0000_s112642"/>
                </a:ext>
                <a:ext uri="{FF2B5EF4-FFF2-40B4-BE49-F238E27FC236}">
                  <a16:creationId xmlns:a16="http://schemas.microsoft.com/office/drawing/2014/main" id="{00000000-0008-0000-0B00-00000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6-17\Schools%20Block\Pro-forma%20Oct\201516_10_APT_373_Sheffield_v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Budget%20Development%20(Schools)\Pupil%20Numbers\Formula\Primary%20Core%20Data%2004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EDU\RESOURCES\BudDevServ\Budget%20Development%20Schools\2005-06\Budget%20Calculations\Mainstream\Budget%20Share\Awkward%20Year%20Groups%202005-06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2-23\Schools%20Block\Budget\Sumbud22.xlsm" TargetMode="External"/><Relationship Id="rId1" Type="http://schemas.openxmlformats.org/officeDocument/2006/relationships/externalLinkPath" Target="file:///G:\CYPD\Budgets\BDS\2022-23\Schools%20Block\Budget\Sumbud22.xlsm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3-24\Schools%20Block\Budget\Sumbud23.xlsm" TargetMode="External"/><Relationship Id="rId1" Type="http://schemas.openxmlformats.org/officeDocument/2006/relationships/externalLinkPath" Target="file:///G:\CYPD\Budgets\BDS\2023-24\Schools%20Block\Budget\Sumbud23.xlsm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2-23\Schools%20Block\Rates\Final%20Rates%202022-23.xlsx" TargetMode="External"/><Relationship Id="rId1" Type="http://schemas.openxmlformats.org/officeDocument/2006/relationships/externalLinkPath" Target="file:///G:\CYPD\Budgets\BDS\2022-23\Schools%20Block\Rates\Final%20Rates%202022-23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3-24\High%20Needs\Special%20Schools\Special%20schools%202023-24.xlsx" TargetMode="External"/><Relationship Id="rId1" Type="http://schemas.openxmlformats.org/officeDocument/2006/relationships/externalLinkPath" Target="file:///G:\CYPD\Budgets\BDS\2023-24\High%20Needs\Special%20Schools\Special%20schools%202023-2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Special%20schools%202022-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3-24\High%20Needs\SIC%202023%20%20202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Place%20Change%20Notification%20Process\202223_P1_HN_373_Sheffield%20-%20Final%20Submitted%20No%20password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6-17\Schools%20Block\Pro-forma%20Oct\201617_P2_APT_373_Sheffield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YPD\Budgets\BDS\2022-23\High%20Needs\IRs\ir%20rec%20jb.xlsx" TargetMode="External"/><Relationship Id="rId1" Type="http://schemas.openxmlformats.org/officeDocument/2006/relationships/externalLinkPath" Target="file:///G:\CYPD\Budgets\BDS\2022-23\High%20Needs\IRs\ir%20rec%20jb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All%20Saint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0-21\Baselines\High%20Needs%20Place%20Change\202122_P1_HN_373_Sheffield%20no%20password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Beck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The%20Birle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Birley%20Spa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Fox%20Hil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Hucklow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King%20Ecgbe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Nook%20Lan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Schools%20Block\APT\202021_P2_APT_373_Sheffieldv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St%20Thomas%20of%20Canterbury%2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High%20Needs\Special%20and%20IRS%2019012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Wharncliffe%20Sid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A4%20Sheet%20Whiteway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High%20Needs\IRs\dedicated-schools-grant_2022-to-2023_published-30-03-2022%20(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siness%20Strategy\Budget%20Support\2022-23\Funding%20Adjustments\Per%2001%20-%20Initial%20Input\Fund%20Adj%20Per%2001%20-%20Initial%20Input%20-%20JB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High%20Needs\IR\IRU%2021%2022%20JB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Schools%20Block\Budget\Sumbud21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High%20Needs\IR\IRU%2021-22%20with%20A4%20Sheet%20JB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7-18\High%20Needs%20Block\IR\IRU%202017%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0-21\Schools%20Block\APT\202021_P2_APT_373_Sheffieldv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siness%20Strategy\Budget%20Support\2017-18\Budget%20Monitoring\DSG\Revised%20from%20EFA%20July%2017\DSG%202016-17%20allocations%20spreadsheet_Jul17_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8-19\Schools%20Block\Budget\Sumbud18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Schools%20Block\Budget\Sumbud19v2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8-19\TPG\Teacher%20Pay%20Grant%202018-19%20-%20Sheffield%201819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TPG\Est.%20TPG%2019-2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1-22\High%20Needs\IRs\IRU%202019%2020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8-19\Pupil%20Premium\Cash%20Advance\Allocations%2018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7-18\Schools%20Block\Budget\201718_P3_APT_373_Sheffiel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Schools%20Block\APT\202223_P1_APT_373_Sheffiel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8-19\Schools%20Block\Jan%20Pro-forma\112753%2015Dec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8-19\Baselines\High%20Needs%20Place%20Change\201819_P4_HN_373_Sheffield%20no%20passwor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siness%20Strategy\Budget%20Support\2021-22\Formula%20Review\NFF%20Consultation\Fair%20school%20funding%20for%20all%20consultation%20-%20Annex%20v3%2022-23%20rates%20J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4-15 submitted baselines"/>
      <sheetName val="14-15 submitted HN places"/>
      <sheetName val="Inputs &amp; Adjustments"/>
      <sheetName val="Local Factors"/>
      <sheetName val="Adjusted Factors"/>
      <sheetName val="14-15 final baseline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R6" t="str">
            <v>School closed prior to 1 April 2015</v>
          </cell>
        </row>
        <row r="7">
          <cell r="BR7" t="str">
            <v>New School opening prior to 1 April 2015</v>
          </cell>
        </row>
        <row r="8">
          <cell r="BR8" t="str">
            <v>New School opening after 1 April 2015</v>
          </cell>
        </row>
        <row r="9">
          <cell r="BR9" t="str">
            <v>Amalgamation of schools by 1 April 2015</v>
          </cell>
        </row>
        <row r="10">
          <cell r="BR10" t="str">
            <v>Change in pupil numbers/factors</v>
          </cell>
        </row>
        <row r="11">
          <cell r="BR11" t="str">
            <v>Conversion to academy status prior to 11 January 2015</v>
          </cell>
        </row>
        <row r="12">
          <cell r="BR12" t="str">
            <v>New Academy/Free School</v>
          </cell>
        </row>
        <row r="13">
          <cell r="BR13" t="str">
            <v>Post-16 institution with Sixth Form Funding From DSG</v>
          </cell>
        </row>
        <row r="14">
          <cell r="BR14" t="str">
            <v>Other</v>
          </cell>
        </row>
      </sheetData>
      <sheetData sheetId="6" refreshError="1">
        <row r="5">
          <cell r="AB5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E9" t="str">
            <v>No</v>
          </cell>
        </row>
        <row r="15">
          <cell r="D15" t="str">
            <v>FSM % Primary</v>
          </cell>
        </row>
        <row r="16">
          <cell r="D16" t="str">
            <v>N/A</v>
          </cell>
        </row>
        <row r="25">
          <cell r="D25" t="str">
            <v>N/A</v>
          </cell>
        </row>
        <row r="26">
          <cell r="D26" t="str">
            <v>N/A</v>
          </cell>
        </row>
        <row r="30">
          <cell r="D30" t="str">
            <v>Low Attainment % Y2-5 73</v>
          </cell>
        </row>
        <row r="40">
          <cell r="K40" t="str">
            <v>Fixed</v>
          </cell>
        </row>
        <row r="41">
          <cell r="K41" t="str">
            <v>Fixed</v>
          </cell>
        </row>
        <row r="42">
          <cell r="K42" t="str">
            <v>Fixed</v>
          </cell>
        </row>
        <row r="43">
          <cell r="K43" t="str">
            <v>Fixed</v>
          </cell>
        </row>
        <row r="61">
          <cell r="J61" t="str">
            <v>No</v>
          </cell>
        </row>
        <row r="62">
          <cell r="D62">
            <v>0.12</v>
          </cell>
        </row>
      </sheetData>
      <sheetData sheetId="11" refreshError="1">
        <row r="8">
          <cell r="V8">
            <v>0</v>
          </cell>
        </row>
        <row r="9">
          <cell r="W9">
            <v>0</v>
          </cell>
        </row>
        <row r="10">
          <cell r="V10">
            <v>0</v>
          </cell>
        </row>
        <row r="11">
          <cell r="W11">
            <v>0</v>
          </cell>
        </row>
        <row r="12">
          <cell r="V12">
            <v>0</v>
          </cell>
          <cell r="W12">
            <v>0</v>
          </cell>
        </row>
        <row r="13">
          <cell r="V13">
            <v>0</v>
          </cell>
          <cell r="W13">
            <v>0</v>
          </cell>
        </row>
        <row r="14">
          <cell r="V14">
            <v>0</v>
          </cell>
          <cell r="W14">
            <v>0</v>
          </cell>
        </row>
        <row r="15">
          <cell r="V15">
            <v>0</v>
          </cell>
          <cell r="W15">
            <v>0</v>
          </cell>
        </row>
        <row r="16">
          <cell r="V16">
            <v>0</v>
          </cell>
          <cell r="W16">
            <v>0</v>
          </cell>
        </row>
        <row r="17">
          <cell r="V17">
            <v>0</v>
          </cell>
          <cell r="W17">
            <v>0</v>
          </cell>
        </row>
        <row r="18">
          <cell r="V18">
            <v>0</v>
          </cell>
          <cell r="W18">
            <v>0</v>
          </cell>
        </row>
        <row r="19">
          <cell r="V19">
            <v>0</v>
          </cell>
        </row>
        <row r="20">
          <cell r="W20">
            <v>0</v>
          </cell>
        </row>
        <row r="21">
          <cell r="V21">
            <v>0</v>
          </cell>
        </row>
        <row r="22">
          <cell r="W22">
            <v>0</v>
          </cell>
        </row>
        <row r="23">
          <cell r="V23">
            <v>0</v>
          </cell>
          <cell r="W23">
            <v>0</v>
          </cell>
        </row>
        <row r="24">
          <cell r="V24">
            <v>0</v>
          </cell>
          <cell r="W24">
            <v>0</v>
          </cell>
        </row>
        <row r="26">
          <cell r="V26">
            <v>0</v>
          </cell>
          <cell r="W26">
            <v>0</v>
          </cell>
        </row>
      </sheetData>
      <sheetData sheetId="12" refreshError="1">
        <row r="5"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S5">
            <v>0</v>
          </cell>
          <cell r="AU5">
            <v>0</v>
          </cell>
          <cell r="AV5">
            <v>0</v>
          </cell>
          <cell r="BB5">
            <v>279262451.32437688</v>
          </cell>
        </row>
        <row r="6">
          <cell r="C6">
            <v>3732000</v>
          </cell>
        </row>
        <row r="7">
          <cell r="C7">
            <v>3732001</v>
          </cell>
        </row>
        <row r="8">
          <cell r="C8">
            <v>3732002</v>
          </cell>
        </row>
        <row r="9">
          <cell r="C9">
            <v>3732014</v>
          </cell>
        </row>
        <row r="10">
          <cell r="C10">
            <v>3732023</v>
          </cell>
        </row>
        <row r="11">
          <cell r="C11">
            <v>3732036</v>
          </cell>
        </row>
        <row r="12">
          <cell r="C12">
            <v>3732040</v>
          </cell>
        </row>
        <row r="13">
          <cell r="C13">
            <v>3732058</v>
          </cell>
        </row>
        <row r="14">
          <cell r="C14">
            <v>3732060</v>
          </cell>
        </row>
        <row r="15">
          <cell r="C15">
            <v>3732063</v>
          </cell>
        </row>
        <row r="16">
          <cell r="C16">
            <v>3732070</v>
          </cell>
        </row>
        <row r="17">
          <cell r="C17">
            <v>3732071</v>
          </cell>
        </row>
        <row r="18">
          <cell r="C18">
            <v>3732072</v>
          </cell>
        </row>
        <row r="19">
          <cell r="C19">
            <v>3732079</v>
          </cell>
        </row>
        <row r="20">
          <cell r="C20">
            <v>3732080</v>
          </cell>
        </row>
        <row r="21">
          <cell r="C21">
            <v>3732081</v>
          </cell>
        </row>
        <row r="22">
          <cell r="C22">
            <v>3732087</v>
          </cell>
        </row>
        <row r="23">
          <cell r="C23">
            <v>3732092</v>
          </cell>
        </row>
        <row r="24">
          <cell r="C24">
            <v>3732093</v>
          </cell>
        </row>
        <row r="25">
          <cell r="C25">
            <v>3732095</v>
          </cell>
        </row>
        <row r="26">
          <cell r="C26">
            <v>3732120</v>
          </cell>
        </row>
        <row r="27">
          <cell r="C27">
            <v>3732129</v>
          </cell>
        </row>
        <row r="28">
          <cell r="C28">
            <v>3732131</v>
          </cell>
        </row>
        <row r="29">
          <cell r="C29">
            <v>3732132</v>
          </cell>
        </row>
        <row r="30">
          <cell r="C30">
            <v>3732133</v>
          </cell>
        </row>
        <row r="31">
          <cell r="C31">
            <v>3732139</v>
          </cell>
        </row>
        <row r="32">
          <cell r="C32">
            <v>3732203</v>
          </cell>
        </row>
        <row r="33">
          <cell r="C33">
            <v>3732206</v>
          </cell>
        </row>
        <row r="34">
          <cell r="C34">
            <v>3732213</v>
          </cell>
        </row>
        <row r="35">
          <cell r="C35">
            <v>3732221</v>
          </cell>
        </row>
        <row r="36">
          <cell r="C36">
            <v>3732230</v>
          </cell>
        </row>
        <row r="37">
          <cell r="C37">
            <v>3732233</v>
          </cell>
        </row>
        <row r="38">
          <cell r="C38">
            <v>3732239</v>
          </cell>
        </row>
        <row r="39">
          <cell r="C39">
            <v>3732241</v>
          </cell>
        </row>
        <row r="40">
          <cell r="C40">
            <v>3732246</v>
          </cell>
        </row>
        <row r="41">
          <cell r="C41">
            <v>3732252</v>
          </cell>
        </row>
        <row r="42">
          <cell r="C42">
            <v>3732257</v>
          </cell>
        </row>
        <row r="43">
          <cell r="C43">
            <v>3732261</v>
          </cell>
        </row>
        <row r="44">
          <cell r="C44">
            <v>3732263</v>
          </cell>
        </row>
        <row r="45">
          <cell r="C45">
            <v>3732272</v>
          </cell>
        </row>
        <row r="46">
          <cell r="C46">
            <v>3732274</v>
          </cell>
        </row>
        <row r="47">
          <cell r="C47">
            <v>3732279</v>
          </cell>
        </row>
        <row r="48">
          <cell r="C48">
            <v>3732281</v>
          </cell>
        </row>
        <row r="49">
          <cell r="C49">
            <v>3732283</v>
          </cell>
        </row>
        <row r="50">
          <cell r="C50">
            <v>3732292</v>
          </cell>
        </row>
        <row r="51">
          <cell r="C51">
            <v>3732294</v>
          </cell>
        </row>
        <row r="52">
          <cell r="C52">
            <v>3732296</v>
          </cell>
        </row>
        <row r="53">
          <cell r="C53">
            <v>3732297</v>
          </cell>
        </row>
        <row r="54">
          <cell r="C54">
            <v>3732302</v>
          </cell>
        </row>
        <row r="55">
          <cell r="C55">
            <v>3732303</v>
          </cell>
        </row>
        <row r="56">
          <cell r="C56">
            <v>3732306</v>
          </cell>
        </row>
        <row r="57">
          <cell r="C57">
            <v>3732309</v>
          </cell>
        </row>
        <row r="58">
          <cell r="C58">
            <v>3732311</v>
          </cell>
        </row>
        <row r="59">
          <cell r="C59">
            <v>3732312</v>
          </cell>
        </row>
        <row r="60">
          <cell r="C60">
            <v>3732313</v>
          </cell>
        </row>
        <row r="61">
          <cell r="C61">
            <v>3732318</v>
          </cell>
        </row>
        <row r="62">
          <cell r="C62">
            <v>3732319</v>
          </cell>
        </row>
        <row r="63">
          <cell r="C63">
            <v>3732321</v>
          </cell>
        </row>
        <row r="64">
          <cell r="C64">
            <v>3732322</v>
          </cell>
        </row>
        <row r="65">
          <cell r="C65">
            <v>3732323</v>
          </cell>
        </row>
        <row r="66">
          <cell r="C66">
            <v>3732324</v>
          </cell>
        </row>
        <row r="67">
          <cell r="C67">
            <v>3732325</v>
          </cell>
        </row>
        <row r="68">
          <cell r="C68">
            <v>3732327</v>
          </cell>
        </row>
        <row r="69">
          <cell r="C69">
            <v>3732328</v>
          </cell>
        </row>
        <row r="70">
          <cell r="C70">
            <v>3732329</v>
          </cell>
        </row>
        <row r="71">
          <cell r="C71">
            <v>3732332</v>
          </cell>
        </row>
        <row r="72">
          <cell r="C72">
            <v>3732333</v>
          </cell>
        </row>
        <row r="73">
          <cell r="C73">
            <v>3732334</v>
          </cell>
        </row>
        <row r="74">
          <cell r="C74">
            <v>3732337</v>
          </cell>
        </row>
        <row r="75">
          <cell r="C75">
            <v>3732338</v>
          </cell>
        </row>
        <row r="76">
          <cell r="C76">
            <v>3732339</v>
          </cell>
        </row>
        <row r="77">
          <cell r="C77">
            <v>3732340</v>
          </cell>
        </row>
        <row r="78">
          <cell r="C78">
            <v>3732341</v>
          </cell>
        </row>
        <row r="79">
          <cell r="C79">
            <v>3732342</v>
          </cell>
        </row>
        <row r="80">
          <cell r="C80">
            <v>3732343</v>
          </cell>
        </row>
        <row r="81">
          <cell r="C81">
            <v>3732344</v>
          </cell>
        </row>
        <row r="82">
          <cell r="C82">
            <v>3732347</v>
          </cell>
        </row>
        <row r="83">
          <cell r="C83">
            <v>3732349</v>
          </cell>
        </row>
        <row r="84">
          <cell r="C84">
            <v>3732350</v>
          </cell>
        </row>
        <row r="85">
          <cell r="C85">
            <v>3732351</v>
          </cell>
        </row>
        <row r="86">
          <cell r="C86">
            <v>3732352</v>
          </cell>
        </row>
        <row r="87">
          <cell r="C87">
            <v>3732353</v>
          </cell>
        </row>
        <row r="88">
          <cell r="C88">
            <v>3732354</v>
          </cell>
        </row>
        <row r="89">
          <cell r="C89">
            <v>3732356</v>
          </cell>
        </row>
        <row r="90">
          <cell r="C90">
            <v>3732357</v>
          </cell>
        </row>
        <row r="91">
          <cell r="C91">
            <v>3732358</v>
          </cell>
        </row>
        <row r="92">
          <cell r="C92">
            <v>3732359</v>
          </cell>
        </row>
        <row r="93">
          <cell r="C93">
            <v>3732360</v>
          </cell>
        </row>
        <row r="94">
          <cell r="C94">
            <v>3732361</v>
          </cell>
        </row>
        <row r="95">
          <cell r="C95">
            <v>3732363</v>
          </cell>
        </row>
        <row r="96">
          <cell r="C96">
            <v>3732364</v>
          </cell>
        </row>
        <row r="97">
          <cell r="C97">
            <v>3732365</v>
          </cell>
        </row>
        <row r="98">
          <cell r="C98">
            <v>3732366</v>
          </cell>
        </row>
        <row r="99">
          <cell r="C99">
            <v>3732367</v>
          </cell>
        </row>
        <row r="100">
          <cell r="C100">
            <v>3732368</v>
          </cell>
        </row>
        <row r="101">
          <cell r="C101">
            <v>3732369</v>
          </cell>
        </row>
        <row r="102">
          <cell r="C102">
            <v>3733008</v>
          </cell>
        </row>
        <row r="103">
          <cell r="C103">
            <v>3733010</v>
          </cell>
        </row>
        <row r="104">
          <cell r="C104">
            <v>3733305</v>
          </cell>
        </row>
        <row r="105">
          <cell r="C105">
            <v>3733401</v>
          </cell>
        </row>
        <row r="106">
          <cell r="C106">
            <v>3733402</v>
          </cell>
        </row>
        <row r="107">
          <cell r="C107">
            <v>3733422</v>
          </cell>
        </row>
        <row r="108">
          <cell r="C108">
            <v>3733423</v>
          </cell>
        </row>
        <row r="109">
          <cell r="C109">
            <v>3733424</v>
          </cell>
        </row>
        <row r="110">
          <cell r="C110">
            <v>3733426</v>
          </cell>
        </row>
        <row r="111">
          <cell r="C111">
            <v>3733428</v>
          </cell>
        </row>
        <row r="112">
          <cell r="C112">
            <v>3733429</v>
          </cell>
        </row>
        <row r="113">
          <cell r="C113">
            <v>3733430</v>
          </cell>
        </row>
        <row r="114">
          <cell r="C114">
            <v>3733432</v>
          </cell>
        </row>
        <row r="115">
          <cell r="C115">
            <v>3733433</v>
          </cell>
        </row>
        <row r="116">
          <cell r="C116">
            <v>3735200</v>
          </cell>
        </row>
        <row r="117">
          <cell r="C117">
            <v>3735201</v>
          </cell>
        </row>
        <row r="118">
          <cell r="C118">
            <v>3735202</v>
          </cell>
        </row>
        <row r="119">
          <cell r="C119">
            <v>3735204</v>
          </cell>
        </row>
        <row r="120">
          <cell r="C120">
            <v>3735206</v>
          </cell>
        </row>
        <row r="121">
          <cell r="C121">
            <v>3735208</v>
          </cell>
        </row>
        <row r="122">
          <cell r="C122">
            <v>3734002</v>
          </cell>
        </row>
        <row r="123">
          <cell r="C123">
            <v>3734252</v>
          </cell>
        </row>
        <row r="124">
          <cell r="C124">
            <v>3734257</v>
          </cell>
        </row>
        <row r="125">
          <cell r="C125">
            <v>3734259</v>
          </cell>
        </row>
        <row r="126">
          <cell r="C126">
            <v>3734260</v>
          </cell>
        </row>
        <row r="127">
          <cell r="C127">
            <v>3734270</v>
          </cell>
        </row>
        <row r="128">
          <cell r="C128">
            <v>3734271</v>
          </cell>
        </row>
        <row r="129">
          <cell r="C129">
            <v>3734276</v>
          </cell>
        </row>
        <row r="130">
          <cell r="C130">
            <v>3734278</v>
          </cell>
        </row>
        <row r="131">
          <cell r="C131">
            <v>3734605</v>
          </cell>
        </row>
        <row r="132">
          <cell r="C132">
            <v>3732004</v>
          </cell>
        </row>
        <row r="133">
          <cell r="C133">
            <v>3732009</v>
          </cell>
        </row>
        <row r="134">
          <cell r="C134">
            <v>3732010</v>
          </cell>
        </row>
        <row r="135">
          <cell r="C135">
            <v>3732012</v>
          </cell>
        </row>
        <row r="136">
          <cell r="C136">
            <v>3732013</v>
          </cell>
        </row>
        <row r="137">
          <cell r="C137">
            <v>3732016</v>
          </cell>
        </row>
        <row r="138">
          <cell r="C138">
            <v>3732047</v>
          </cell>
        </row>
        <row r="139">
          <cell r="C139">
            <v>3732298</v>
          </cell>
        </row>
        <row r="140">
          <cell r="C140">
            <v>3732305</v>
          </cell>
        </row>
        <row r="141">
          <cell r="C141">
            <v>3732315</v>
          </cell>
        </row>
        <row r="142">
          <cell r="C142">
            <v>3732346</v>
          </cell>
        </row>
        <row r="143">
          <cell r="C143">
            <v>3733406</v>
          </cell>
        </row>
        <row r="144">
          <cell r="C144">
            <v>3733412</v>
          </cell>
        </row>
        <row r="145">
          <cell r="C145">
            <v>3733414</v>
          </cell>
        </row>
        <row r="146">
          <cell r="C146">
            <v>3733427</v>
          </cell>
        </row>
        <row r="147">
          <cell r="C147">
            <v>3735203</v>
          </cell>
        </row>
        <row r="148">
          <cell r="C148">
            <v>3735207</v>
          </cell>
        </row>
        <row r="149">
          <cell r="C149">
            <v>3734225</v>
          </cell>
        </row>
        <row r="150">
          <cell r="C150">
            <v>3734000</v>
          </cell>
        </row>
        <row r="151">
          <cell r="C151">
            <v>3734003</v>
          </cell>
        </row>
        <row r="152">
          <cell r="C152">
            <v>3734229</v>
          </cell>
        </row>
        <row r="153">
          <cell r="C153">
            <v>3734230</v>
          </cell>
        </row>
        <row r="154">
          <cell r="C154">
            <v>3734234</v>
          </cell>
        </row>
        <row r="155">
          <cell r="C155">
            <v>3734253</v>
          </cell>
        </row>
        <row r="156">
          <cell r="C156">
            <v>3734272</v>
          </cell>
        </row>
        <row r="157">
          <cell r="C157">
            <v>3734279</v>
          </cell>
        </row>
        <row r="158">
          <cell r="C158">
            <v>3734280</v>
          </cell>
        </row>
        <row r="159">
          <cell r="C159">
            <v>3735400</v>
          </cell>
        </row>
        <row r="160">
          <cell r="C160">
            <v>3735401</v>
          </cell>
        </row>
        <row r="161">
          <cell r="C161">
            <v>3736907</v>
          </cell>
        </row>
        <row r="162">
          <cell r="C162">
            <v>3734004</v>
          </cell>
        </row>
        <row r="163">
          <cell r="C163">
            <v>3736905</v>
          </cell>
        </row>
        <row r="164">
          <cell r="C164">
            <v>3736906</v>
          </cell>
        </row>
        <row r="165">
          <cell r="C165" t="str">
            <v/>
          </cell>
        </row>
        <row r="166">
          <cell r="C166" t="str">
            <v/>
          </cell>
        </row>
        <row r="167">
          <cell r="C167" t="str">
            <v/>
          </cell>
        </row>
        <row r="168">
          <cell r="C168" t="str">
            <v/>
          </cell>
        </row>
        <row r="169">
          <cell r="C169" t="str">
            <v/>
          </cell>
        </row>
        <row r="170">
          <cell r="C170" t="str">
            <v/>
          </cell>
        </row>
        <row r="171">
          <cell r="C171" t="str">
            <v/>
          </cell>
        </row>
        <row r="172">
          <cell r="C172" t="str">
            <v/>
          </cell>
        </row>
        <row r="173">
          <cell r="C173" t="str">
            <v/>
          </cell>
        </row>
        <row r="174">
          <cell r="C174" t="str">
            <v/>
          </cell>
        </row>
        <row r="175">
          <cell r="C175" t="str">
            <v/>
          </cell>
        </row>
        <row r="176">
          <cell r="C176" t="str">
            <v/>
          </cell>
        </row>
        <row r="177">
          <cell r="C177" t="str">
            <v/>
          </cell>
        </row>
        <row r="178">
          <cell r="C178" t="str">
            <v/>
          </cell>
        </row>
        <row r="179">
          <cell r="C179" t="str">
            <v/>
          </cell>
        </row>
        <row r="180">
          <cell r="C180" t="str">
            <v/>
          </cell>
        </row>
        <row r="181">
          <cell r="C181" t="str">
            <v/>
          </cell>
        </row>
        <row r="182">
          <cell r="C182" t="str">
            <v/>
          </cell>
        </row>
        <row r="183">
          <cell r="C183" t="str">
            <v/>
          </cell>
        </row>
        <row r="184">
          <cell r="C184" t="str">
            <v/>
          </cell>
        </row>
        <row r="185">
          <cell r="C185" t="str">
            <v/>
          </cell>
        </row>
        <row r="186">
          <cell r="C186" t="str">
            <v/>
          </cell>
        </row>
        <row r="187">
          <cell r="C187" t="str">
            <v/>
          </cell>
        </row>
        <row r="188">
          <cell r="C188" t="str">
            <v/>
          </cell>
        </row>
        <row r="189">
          <cell r="C189" t="str">
            <v/>
          </cell>
        </row>
        <row r="190">
          <cell r="C190" t="str">
            <v/>
          </cell>
        </row>
        <row r="191">
          <cell r="C191" t="str">
            <v/>
          </cell>
        </row>
        <row r="192">
          <cell r="C192" t="str">
            <v/>
          </cell>
        </row>
        <row r="193">
          <cell r="C193" t="str">
            <v/>
          </cell>
        </row>
        <row r="194">
          <cell r="C194" t="str">
            <v/>
          </cell>
        </row>
        <row r="195">
          <cell r="C195" t="str">
            <v/>
          </cell>
        </row>
        <row r="196">
          <cell r="C196" t="str">
            <v/>
          </cell>
        </row>
        <row r="197">
          <cell r="C197" t="str">
            <v/>
          </cell>
        </row>
        <row r="198">
          <cell r="C198" t="str">
            <v/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10">
          <cell r="C210" t="str">
            <v/>
          </cell>
        </row>
        <row r="211">
          <cell r="C211" t="str">
            <v/>
          </cell>
        </row>
        <row r="212">
          <cell r="C212" t="str">
            <v/>
          </cell>
        </row>
        <row r="213">
          <cell r="C213" t="str">
            <v/>
          </cell>
        </row>
        <row r="214">
          <cell r="C214" t="str">
            <v/>
          </cell>
        </row>
        <row r="215">
          <cell r="C215" t="str">
            <v/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e Data 0405"/>
      <sheetName val="Recep Check"/>
      <sheetName val="Check"/>
      <sheetName val="Missing Count"/>
      <sheetName val="Core Data 0304"/>
    </sheetNames>
    <sheetDataSet>
      <sheetData sheetId="0" refreshError="1">
        <row r="1">
          <cell r="B1" t="str">
            <v>Pupil Level Annual Schools Census Data January 2004</v>
          </cell>
        </row>
        <row r="78">
          <cell r="A78">
            <v>67</v>
          </cell>
          <cell r="B78" t="str">
            <v>IJ</v>
          </cell>
          <cell r="C78">
            <v>67</v>
          </cell>
          <cell r="D78" t="str">
            <v>Manor Lodge IJ</v>
          </cell>
          <cell r="E78">
            <v>0</v>
          </cell>
          <cell r="F78">
            <v>0</v>
          </cell>
          <cell r="G78">
            <v>0</v>
          </cell>
          <cell r="H78">
            <v>28</v>
          </cell>
          <cell r="I78">
            <v>28</v>
          </cell>
          <cell r="J78">
            <v>26</v>
          </cell>
          <cell r="K78">
            <v>28</v>
          </cell>
          <cell r="L78">
            <v>23</v>
          </cell>
          <cell r="M78">
            <v>36</v>
          </cell>
          <cell r="N78">
            <v>31</v>
          </cell>
          <cell r="O78">
            <v>45</v>
          </cell>
          <cell r="P78">
            <v>217</v>
          </cell>
        </row>
        <row r="79">
          <cell r="A79">
            <v>68</v>
          </cell>
          <cell r="B79" t="str">
            <v>NIJ</v>
          </cell>
          <cell r="C79">
            <v>68</v>
          </cell>
          <cell r="D79" t="str">
            <v>Mansel NIJ</v>
          </cell>
          <cell r="E79">
            <v>0</v>
          </cell>
          <cell r="F79">
            <v>42</v>
          </cell>
          <cell r="G79">
            <v>0</v>
          </cell>
          <cell r="H79">
            <v>35</v>
          </cell>
          <cell r="I79">
            <v>35</v>
          </cell>
          <cell r="J79">
            <v>42</v>
          </cell>
          <cell r="K79">
            <v>42</v>
          </cell>
          <cell r="L79">
            <v>53</v>
          </cell>
          <cell r="M79">
            <v>46</v>
          </cell>
          <cell r="N79">
            <v>53</v>
          </cell>
          <cell r="O79">
            <v>52</v>
          </cell>
          <cell r="P79">
            <v>344</v>
          </cell>
        </row>
        <row r="80">
          <cell r="A80">
            <v>69</v>
          </cell>
          <cell r="B80" t="str">
            <v>IJ</v>
          </cell>
          <cell r="C80">
            <v>69</v>
          </cell>
          <cell r="D80" t="str">
            <v>Marlcliffe IJ</v>
          </cell>
          <cell r="E80">
            <v>0</v>
          </cell>
          <cell r="F80">
            <v>0</v>
          </cell>
          <cell r="G80">
            <v>0</v>
          </cell>
          <cell r="H80">
            <v>60</v>
          </cell>
          <cell r="I80">
            <v>60</v>
          </cell>
          <cell r="J80">
            <v>60</v>
          </cell>
          <cell r="K80">
            <v>67</v>
          </cell>
          <cell r="L80">
            <v>61</v>
          </cell>
          <cell r="M80">
            <v>69</v>
          </cell>
          <cell r="N80">
            <v>70</v>
          </cell>
          <cell r="O80">
            <v>69</v>
          </cell>
          <cell r="P80">
            <v>456</v>
          </cell>
        </row>
        <row r="81">
          <cell r="A81">
            <v>70</v>
          </cell>
          <cell r="B81" t="str">
            <v>NIJ</v>
          </cell>
          <cell r="C81">
            <v>70</v>
          </cell>
          <cell r="D81" t="str">
            <v>Meersbrook Bank NIJ</v>
          </cell>
          <cell r="E81">
            <v>0</v>
          </cell>
          <cell r="F81">
            <v>51</v>
          </cell>
          <cell r="G81">
            <v>0</v>
          </cell>
          <cell r="H81">
            <v>30</v>
          </cell>
          <cell r="I81">
            <v>30</v>
          </cell>
          <cell r="J81">
            <v>29</v>
          </cell>
          <cell r="K81">
            <v>28</v>
          </cell>
          <cell r="L81">
            <v>32</v>
          </cell>
          <cell r="M81">
            <v>27</v>
          </cell>
          <cell r="N81">
            <v>31</v>
          </cell>
          <cell r="O81">
            <v>34</v>
          </cell>
          <cell r="P81">
            <v>236.5</v>
          </cell>
        </row>
        <row r="82">
          <cell r="A82">
            <v>71</v>
          </cell>
          <cell r="B82" t="str">
            <v>NIJ</v>
          </cell>
          <cell r="C82">
            <v>71</v>
          </cell>
          <cell r="D82" t="str">
            <v>Meynell NIJ</v>
          </cell>
          <cell r="E82">
            <v>0</v>
          </cell>
          <cell r="F82">
            <v>67</v>
          </cell>
          <cell r="G82">
            <v>0</v>
          </cell>
          <cell r="H82">
            <v>46</v>
          </cell>
          <cell r="I82">
            <v>46</v>
          </cell>
          <cell r="J82">
            <v>43</v>
          </cell>
          <cell r="K82">
            <v>51</v>
          </cell>
          <cell r="L82">
            <v>48</v>
          </cell>
          <cell r="M82">
            <v>46</v>
          </cell>
          <cell r="N82">
            <v>52</v>
          </cell>
          <cell r="O82">
            <v>59</v>
          </cell>
          <cell r="P82">
            <v>378.5</v>
          </cell>
        </row>
        <row r="83">
          <cell r="A83">
            <v>72</v>
          </cell>
          <cell r="B83" t="str">
            <v>NIJ</v>
          </cell>
          <cell r="C83">
            <v>72</v>
          </cell>
          <cell r="D83" t="str">
            <v>Monteney NIJ</v>
          </cell>
          <cell r="E83">
            <v>0</v>
          </cell>
          <cell r="F83">
            <v>49</v>
          </cell>
          <cell r="G83">
            <v>0</v>
          </cell>
          <cell r="H83">
            <v>53</v>
          </cell>
          <cell r="I83">
            <v>53</v>
          </cell>
          <cell r="J83">
            <v>56</v>
          </cell>
          <cell r="K83">
            <v>56</v>
          </cell>
          <cell r="L83">
            <v>55</v>
          </cell>
          <cell r="M83">
            <v>57</v>
          </cell>
          <cell r="N83">
            <v>58</v>
          </cell>
          <cell r="O83">
            <v>56</v>
          </cell>
          <cell r="P83">
            <v>415.5</v>
          </cell>
        </row>
        <row r="84">
          <cell r="A84">
            <v>73</v>
          </cell>
          <cell r="B84" t="str">
            <v>IJ</v>
          </cell>
          <cell r="C84">
            <v>73</v>
          </cell>
          <cell r="D84" t="str">
            <v>Mosborough IJ</v>
          </cell>
          <cell r="E84">
            <v>0</v>
          </cell>
          <cell r="F84">
            <v>0</v>
          </cell>
          <cell r="G84">
            <v>0</v>
          </cell>
          <cell r="H84">
            <v>48</v>
          </cell>
          <cell r="I84">
            <v>48</v>
          </cell>
          <cell r="J84">
            <v>28</v>
          </cell>
          <cell r="K84">
            <v>45</v>
          </cell>
          <cell r="L84">
            <v>33</v>
          </cell>
          <cell r="M84">
            <v>34</v>
          </cell>
          <cell r="N84">
            <v>32</v>
          </cell>
          <cell r="O84">
            <v>32</v>
          </cell>
          <cell r="P84">
            <v>252</v>
          </cell>
        </row>
        <row r="85">
          <cell r="A85">
            <v>74</v>
          </cell>
          <cell r="B85" t="str">
            <v>IJ</v>
          </cell>
          <cell r="C85">
            <v>74</v>
          </cell>
          <cell r="D85" t="str">
            <v>Mundella IJ</v>
          </cell>
          <cell r="E85">
            <v>0</v>
          </cell>
          <cell r="F85">
            <v>0</v>
          </cell>
          <cell r="G85">
            <v>0</v>
          </cell>
          <cell r="H85">
            <v>40</v>
          </cell>
          <cell r="I85">
            <v>40</v>
          </cell>
          <cell r="J85">
            <v>38</v>
          </cell>
          <cell r="K85">
            <v>40</v>
          </cell>
          <cell r="L85">
            <v>41</v>
          </cell>
          <cell r="M85">
            <v>34</v>
          </cell>
          <cell r="N85">
            <v>41</v>
          </cell>
          <cell r="O85">
            <v>43</v>
          </cell>
          <cell r="P85">
            <v>277</v>
          </cell>
        </row>
        <row r="86">
          <cell r="A86">
            <v>75</v>
          </cell>
          <cell r="B86" t="str">
            <v>I</v>
          </cell>
          <cell r="C86">
            <v>75</v>
          </cell>
          <cell r="D86" t="str">
            <v>Nether Green I</v>
          </cell>
          <cell r="E86">
            <v>0</v>
          </cell>
          <cell r="F86">
            <v>0</v>
          </cell>
          <cell r="G86">
            <v>0</v>
          </cell>
          <cell r="H86">
            <v>72</v>
          </cell>
          <cell r="I86">
            <v>72</v>
          </cell>
          <cell r="J86">
            <v>75</v>
          </cell>
          <cell r="K86">
            <v>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222</v>
          </cell>
        </row>
        <row r="87">
          <cell r="A87">
            <v>76</v>
          </cell>
          <cell r="B87" t="str">
            <v>J</v>
          </cell>
          <cell r="C87">
            <v>76</v>
          </cell>
          <cell r="D87" t="str">
            <v>Nether Green J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101</v>
          </cell>
          <cell r="M87">
            <v>98</v>
          </cell>
          <cell r="N87">
            <v>93</v>
          </cell>
          <cell r="O87">
            <v>90</v>
          </cell>
          <cell r="P87">
            <v>382</v>
          </cell>
        </row>
        <row r="88">
          <cell r="A88">
            <v>77</v>
          </cell>
          <cell r="B88" t="str">
            <v>NIJ</v>
          </cell>
          <cell r="C88">
            <v>77</v>
          </cell>
          <cell r="D88" t="str">
            <v>Netherthorpe NIJ</v>
          </cell>
          <cell r="E88">
            <v>0</v>
          </cell>
          <cell r="F88">
            <v>32</v>
          </cell>
          <cell r="G88">
            <v>0</v>
          </cell>
          <cell r="H88">
            <v>26</v>
          </cell>
          <cell r="I88">
            <v>26</v>
          </cell>
          <cell r="J88">
            <v>27</v>
          </cell>
          <cell r="K88">
            <v>23</v>
          </cell>
          <cell r="L88">
            <v>21</v>
          </cell>
          <cell r="M88">
            <v>30</v>
          </cell>
          <cell r="N88">
            <v>25</v>
          </cell>
          <cell r="O88">
            <v>30</v>
          </cell>
          <cell r="P88">
            <v>198</v>
          </cell>
        </row>
        <row r="89">
          <cell r="A89">
            <v>78</v>
          </cell>
          <cell r="B89" t="str">
            <v>J</v>
          </cell>
          <cell r="C89">
            <v>78</v>
          </cell>
          <cell r="D89" t="str">
            <v>Nook Lane J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63</v>
          </cell>
          <cell r="M89">
            <v>60</v>
          </cell>
          <cell r="N89">
            <v>57</v>
          </cell>
          <cell r="O89">
            <v>62</v>
          </cell>
          <cell r="P89">
            <v>242</v>
          </cell>
        </row>
        <row r="90">
          <cell r="A90">
            <v>79</v>
          </cell>
          <cell r="B90" t="str">
            <v>NIJ</v>
          </cell>
          <cell r="C90">
            <v>79</v>
          </cell>
          <cell r="D90" t="str">
            <v>Norfolk NIJ</v>
          </cell>
          <cell r="E90">
            <v>0</v>
          </cell>
          <cell r="F90">
            <v>71</v>
          </cell>
          <cell r="G90">
            <v>0</v>
          </cell>
          <cell r="H90">
            <v>46</v>
          </cell>
          <cell r="I90">
            <v>46</v>
          </cell>
          <cell r="J90">
            <v>37</v>
          </cell>
          <cell r="K90">
            <v>53</v>
          </cell>
          <cell r="L90">
            <v>45</v>
          </cell>
          <cell r="M90">
            <v>52</v>
          </cell>
          <cell r="N90">
            <v>45</v>
          </cell>
          <cell r="O90">
            <v>58</v>
          </cell>
          <cell r="P90">
            <v>371.5</v>
          </cell>
        </row>
        <row r="91">
          <cell r="A91">
            <v>80</v>
          </cell>
          <cell r="B91" t="str">
            <v>IJ(A)</v>
          </cell>
          <cell r="C91">
            <v>80</v>
          </cell>
          <cell r="D91" t="str">
            <v>Norton Free IJ</v>
          </cell>
          <cell r="E91">
            <v>0</v>
          </cell>
          <cell r="F91">
            <v>0</v>
          </cell>
          <cell r="G91">
            <v>0</v>
          </cell>
          <cell r="H91">
            <v>29</v>
          </cell>
          <cell r="I91">
            <v>29</v>
          </cell>
          <cell r="J91">
            <v>31</v>
          </cell>
          <cell r="K91">
            <v>28</v>
          </cell>
          <cell r="L91">
            <v>33</v>
          </cell>
          <cell r="M91">
            <v>31</v>
          </cell>
          <cell r="N91">
            <v>32</v>
          </cell>
          <cell r="O91">
            <v>30</v>
          </cell>
          <cell r="P91">
            <v>214</v>
          </cell>
        </row>
        <row r="92">
          <cell r="A92">
            <v>81</v>
          </cell>
          <cell r="B92" t="str">
            <v>IJ</v>
          </cell>
          <cell r="C92">
            <v>81</v>
          </cell>
          <cell r="D92" t="str">
            <v>Oughtibridge IJ</v>
          </cell>
          <cell r="E92">
            <v>0</v>
          </cell>
          <cell r="F92">
            <v>0</v>
          </cell>
          <cell r="G92">
            <v>0</v>
          </cell>
          <cell r="H92">
            <v>42</v>
          </cell>
          <cell r="I92">
            <v>42</v>
          </cell>
          <cell r="J92">
            <v>45</v>
          </cell>
          <cell r="K92">
            <v>42</v>
          </cell>
          <cell r="L92">
            <v>44</v>
          </cell>
          <cell r="M92">
            <v>45</v>
          </cell>
          <cell r="N92">
            <v>33</v>
          </cell>
          <cell r="O92">
            <v>48</v>
          </cell>
          <cell r="P92">
            <v>299</v>
          </cell>
        </row>
        <row r="93">
          <cell r="A93">
            <v>82</v>
          </cell>
          <cell r="B93" t="str">
            <v>NI</v>
          </cell>
          <cell r="C93">
            <v>82</v>
          </cell>
          <cell r="D93" t="str">
            <v>Owler Brook NI</v>
          </cell>
          <cell r="E93">
            <v>0</v>
          </cell>
          <cell r="F93">
            <v>104</v>
          </cell>
          <cell r="G93">
            <v>0</v>
          </cell>
          <cell r="H93">
            <v>89</v>
          </cell>
          <cell r="I93">
            <v>89</v>
          </cell>
          <cell r="J93">
            <v>90</v>
          </cell>
          <cell r="K93">
            <v>90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321</v>
          </cell>
        </row>
        <row r="94">
          <cell r="A94">
            <v>83</v>
          </cell>
          <cell r="B94" t="str">
            <v>IJ</v>
          </cell>
          <cell r="C94">
            <v>83</v>
          </cell>
          <cell r="D94" t="str">
            <v>Parkhill IJ</v>
          </cell>
          <cell r="E94">
            <v>0</v>
          </cell>
          <cell r="F94">
            <v>0</v>
          </cell>
          <cell r="G94">
            <v>0</v>
          </cell>
          <cell r="H94">
            <v>25</v>
          </cell>
          <cell r="I94">
            <v>25</v>
          </cell>
          <cell r="J94">
            <v>30</v>
          </cell>
          <cell r="K94">
            <v>31</v>
          </cell>
          <cell r="L94">
            <v>28</v>
          </cell>
          <cell r="M94">
            <v>30</v>
          </cell>
          <cell r="N94">
            <v>29</v>
          </cell>
          <cell r="O94">
            <v>31</v>
          </cell>
          <cell r="P94">
            <v>204</v>
          </cell>
        </row>
        <row r="95">
          <cell r="A95">
            <v>84</v>
          </cell>
          <cell r="B95" t="str">
            <v>IJ(A)</v>
          </cell>
          <cell r="C95">
            <v>84</v>
          </cell>
          <cell r="D95" t="str">
            <v>Parson Cross IJ</v>
          </cell>
          <cell r="E95">
            <v>0</v>
          </cell>
          <cell r="F95">
            <v>0</v>
          </cell>
          <cell r="G95">
            <v>0</v>
          </cell>
          <cell r="H95">
            <v>30</v>
          </cell>
          <cell r="I95">
            <v>30</v>
          </cell>
          <cell r="J95">
            <v>30</v>
          </cell>
          <cell r="K95">
            <v>30</v>
          </cell>
          <cell r="L95">
            <v>32</v>
          </cell>
          <cell r="M95">
            <v>31</v>
          </cell>
          <cell r="N95">
            <v>33</v>
          </cell>
          <cell r="O95">
            <v>29</v>
          </cell>
          <cell r="P95">
            <v>215</v>
          </cell>
        </row>
        <row r="96">
          <cell r="A96">
            <v>85</v>
          </cell>
          <cell r="B96" t="str">
            <v>NIJ</v>
          </cell>
          <cell r="C96">
            <v>85</v>
          </cell>
          <cell r="D96" t="str">
            <v>Phillimore Park Community NIJ</v>
          </cell>
          <cell r="E96">
            <v>10</v>
          </cell>
          <cell r="F96">
            <v>50</v>
          </cell>
          <cell r="G96">
            <v>0</v>
          </cell>
          <cell r="H96">
            <v>54</v>
          </cell>
          <cell r="I96">
            <v>54</v>
          </cell>
          <cell r="J96">
            <v>54</v>
          </cell>
          <cell r="K96">
            <v>56</v>
          </cell>
          <cell r="L96">
            <v>52</v>
          </cell>
          <cell r="M96">
            <v>47</v>
          </cell>
          <cell r="N96">
            <v>55</v>
          </cell>
          <cell r="O96">
            <v>39</v>
          </cell>
          <cell r="P96">
            <v>392</v>
          </cell>
        </row>
        <row r="97">
          <cell r="A97">
            <v>86</v>
          </cell>
          <cell r="B97" t="str">
            <v>J</v>
          </cell>
          <cell r="C97">
            <v>86</v>
          </cell>
          <cell r="D97" t="str">
            <v>Pipworth J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55</v>
          </cell>
          <cell r="M97">
            <v>50</v>
          </cell>
          <cell r="N97">
            <v>64</v>
          </cell>
          <cell r="O97">
            <v>65</v>
          </cell>
          <cell r="P97">
            <v>234</v>
          </cell>
        </row>
        <row r="98">
          <cell r="A98">
            <v>87</v>
          </cell>
          <cell r="B98" t="str">
            <v>NI</v>
          </cell>
          <cell r="C98">
            <v>87</v>
          </cell>
          <cell r="D98" t="str">
            <v>Pipworth NI</v>
          </cell>
          <cell r="E98">
            <v>22</v>
          </cell>
          <cell r="F98">
            <v>29</v>
          </cell>
          <cell r="G98">
            <v>0</v>
          </cell>
          <cell r="H98">
            <v>45</v>
          </cell>
          <cell r="I98">
            <v>45</v>
          </cell>
          <cell r="J98">
            <v>54</v>
          </cell>
          <cell r="K98">
            <v>63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198.5</v>
          </cell>
        </row>
        <row r="99">
          <cell r="A99">
            <v>88</v>
          </cell>
          <cell r="B99" t="str">
            <v>IJ(A)</v>
          </cell>
          <cell r="C99">
            <v>88</v>
          </cell>
          <cell r="D99" t="str">
            <v>Porter Croft(CE) IJ</v>
          </cell>
          <cell r="E99">
            <v>0</v>
          </cell>
          <cell r="F99">
            <v>0</v>
          </cell>
          <cell r="G99">
            <v>0</v>
          </cell>
          <cell r="H99">
            <v>28</v>
          </cell>
          <cell r="I99">
            <v>28</v>
          </cell>
          <cell r="J99">
            <v>28</v>
          </cell>
          <cell r="K99">
            <v>21</v>
          </cell>
          <cell r="L99">
            <v>27</v>
          </cell>
          <cell r="M99">
            <v>20</v>
          </cell>
          <cell r="N99">
            <v>28</v>
          </cell>
          <cell r="O99">
            <v>24</v>
          </cell>
          <cell r="P99">
            <v>176</v>
          </cell>
        </row>
        <row r="100">
          <cell r="A100">
            <v>89</v>
          </cell>
          <cell r="B100" t="str">
            <v>NIJ</v>
          </cell>
          <cell r="C100">
            <v>89</v>
          </cell>
          <cell r="D100" t="str">
            <v>Prince Edward NIJ</v>
          </cell>
          <cell r="E100">
            <v>32</v>
          </cell>
          <cell r="F100">
            <v>14</v>
          </cell>
          <cell r="G100">
            <v>0</v>
          </cell>
          <cell r="H100">
            <v>52</v>
          </cell>
          <cell r="I100">
            <v>52</v>
          </cell>
          <cell r="J100">
            <v>45</v>
          </cell>
          <cell r="K100">
            <v>44</v>
          </cell>
          <cell r="L100">
            <v>43</v>
          </cell>
          <cell r="M100">
            <v>54</v>
          </cell>
          <cell r="N100">
            <v>60</v>
          </cell>
          <cell r="O100">
            <v>61</v>
          </cell>
          <cell r="P100">
            <v>398</v>
          </cell>
        </row>
        <row r="101">
          <cell r="A101">
            <v>90</v>
          </cell>
          <cell r="B101" t="str">
            <v>NIJ(A)</v>
          </cell>
          <cell r="C101">
            <v>90</v>
          </cell>
          <cell r="D101" t="str">
            <v>Pye Bank CE NIJ</v>
          </cell>
          <cell r="E101">
            <v>0</v>
          </cell>
          <cell r="F101">
            <v>42</v>
          </cell>
          <cell r="G101">
            <v>0</v>
          </cell>
          <cell r="H101">
            <v>30</v>
          </cell>
          <cell r="I101">
            <v>30</v>
          </cell>
          <cell r="J101">
            <v>30</v>
          </cell>
          <cell r="K101">
            <v>29</v>
          </cell>
          <cell r="L101">
            <v>30</v>
          </cell>
          <cell r="M101">
            <v>29</v>
          </cell>
          <cell r="N101">
            <v>31</v>
          </cell>
          <cell r="O101">
            <v>24</v>
          </cell>
          <cell r="P101">
            <v>224</v>
          </cell>
        </row>
        <row r="102">
          <cell r="A102">
            <v>91</v>
          </cell>
          <cell r="B102" t="str">
            <v>NIJ</v>
          </cell>
          <cell r="C102">
            <v>91</v>
          </cell>
          <cell r="D102" t="str">
            <v>Rainbow Forge NIJ</v>
          </cell>
          <cell r="E102">
            <v>0</v>
          </cell>
          <cell r="F102">
            <v>42</v>
          </cell>
          <cell r="G102">
            <v>0</v>
          </cell>
          <cell r="H102">
            <v>46</v>
          </cell>
          <cell r="I102">
            <v>46</v>
          </cell>
          <cell r="J102">
            <v>54</v>
          </cell>
          <cell r="K102">
            <v>60</v>
          </cell>
          <cell r="L102">
            <v>60</v>
          </cell>
          <cell r="M102">
            <v>51</v>
          </cell>
          <cell r="N102">
            <v>50</v>
          </cell>
          <cell r="O102">
            <v>57</v>
          </cell>
          <cell r="P102">
            <v>399</v>
          </cell>
        </row>
        <row r="103">
          <cell r="A103">
            <v>92</v>
          </cell>
          <cell r="B103" t="str">
            <v>NIJ</v>
          </cell>
          <cell r="C103">
            <v>92</v>
          </cell>
          <cell r="D103" t="str">
            <v>Reignhead NIJ</v>
          </cell>
          <cell r="E103">
            <v>0</v>
          </cell>
          <cell r="F103">
            <v>49</v>
          </cell>
          <cell r="G103">
            <v>0</v>
          </cell>
          <cell r="H103">
            <v>40</v>
          </cell>
          <cell r="I103">
            <v>40</v>
          </cell>
          <cell r="J103">
            <v>52</v>
          </cell>
          <cell r="K103">
            <v>51</v>
          </cell>
          <cell r="L103">
            <v>61</v>
          </cell>
          <cell r="M103">
            <v>60</v>
          </cell>
          <cell r="N103">
            <v>61</v>
          </cell>
          <cell r="O103">
            <v>61</v>
          </cell>
          <cell r="P103">
            <v>410.5</v>
          </cell>
        </row>
        <row r="104">
          <cell r="A104">
            <v>93</v>
          </cell>
          <cell r="B104" t="str">
            <v>NIJ</v>
          </cell>
          <cell r="C104">
            <v>93</v>
          </cell>
          <cell r="D104" t="str">
            <v>Rivelin NIJ</v>
          </cell>
          <cell r="E104">
            <v>0</v>
          </cell>
          <cell r="F104">
            <v>77</v>
          </cell>
          <cell r="G104">
            <v>0</v>
          </cell>
          <cell r="H104">
            <v>47</v>
          </cell>
          <cell r="I104">
            <v>47</v>
          </cell>
          <cell r="J104">
            <v>53</v>
          </cell>
          <cell r="K104">
            <v>58</v>
          </cell>
          <cell r="L104">
            <v>40</v>
          </cell>
          <cell r="M104">
            <v>35</v>
          </cell>
          <cell r="N104">
            <v>42</v>
          </cell>
          <cell r="O104">
            <v>48</v>
          </cell>
          <cell r="P104">
            <v>361.5</v>
          </cell>
        </row>
        <row r="105">
          <cell r="A105">
            <v>94</v>
          </cell>
          <cell r="B105" t="str">
            <v>NI</v>
          </cell>
          <cell r="C105">
            <v>94</v>
          </cell>
          <cell r="D105" t="str">
            <v>Royd NI</v>
          </cell>
          <cell r="E105">
            <v>0</v>
          </cell>
          <cell r="F105">
            <v>72</v>
          </cell>
          <cell r="G105">
            <v>0</v>
          </cell>
          <cell r="H105">
            <v>58</v>
          </cell>
          <cell r="I105">
            <v>58</v>
          </cell>
          <cell r="J105">
            <v>63</v>
          </cell>
          <cell r="K105">
            <v>63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220</v>
          </cell>
        </row>
        <row r="106">
          <cell r="A106">
            <v>95</v>
          </cell>
          <cell r="B106" t="str">
            <v>IJ(A)</v>
          </cell>
          <cell r="C106">
            <v>95</v>
          </cell>
          <cell r="D106" t="str">
            <v>Sacred Heart(RC) IJ</v>
          </cell>
          <cell r="E106">
            <v>0</v>
          </cell>
          <cell r="F106">
            <v>0</v>
          </cell>
          <cell r="G106">
            <v>0</v>
          </cell>
          <cell r="H106">
            <v>30</v>
          </cell>
          <cell r="I106">
            <v>30</v>
          </cell>
          <cell r="J106">
            <v>30</v>
          </cell>
          <cell r="K106">
            <v>30</v>
          </cell>
          <cell r="L106">
            <v>27</v>
          </cell>
          <cell r="M106">
            <v>29</v>
          </cell>
          <cell r="N106">
            <v>32</v>
          </cell>
          <cell r="O106">
            <v>31</v>
          </cell>
          <cell r="P106">
            <v>209</v>
          </cell>
        </row>
        <row r="107">
          <cell r="A107">
            <v>96</v>
          </cell>
          <cell r="B107" t="str">
            <v>J</v>
          </cell>
          <cell r="C107">
            <v>96</v>
          </cell>
          <cell r="D107" t="str">
            <v>Sharrow J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50</v>
          </cell>
          <cell r="M107">
            <v>46</v>
          </cell>
          <cell r="N107">
            <v>56</v>
          </cell>
          <cell r="O107">
            <v>59</v>
          </cell>
          <cell r="P107">
            <v>211</v>
          </cell>
        </row>
        <row r="108">
          <cell r="A108">
            <v>97</v>
          </cell>
          <cell r="B108" t="str">
            <v>NI</v>
          </cell>
          <cell r="C108">
            <v>97</v>
          </cell>
          <cell r="D108" t="str">
            <v>Sharrow NI</v>
          </cell>
          <cell r="E108">
            <v>2</v>
          </cell>
          <cell r="F108">
            <v>83</v>
          </cell>
          <cell r="G108">
            <v>0</v>
          </cell>
          <cell r="H108">
            <v>57</v>
          </cell>
          <cell r="I108">
            <v>57</v>
          </cell>
          <cell r="J108">
            <v>58</v>
          </cell>
          <cell r="K108">
            <v>49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207.5</v>
          </cell>
        </row>
        <row r="109">
          <cell r="A109">
            <v>98</v>
          </cell>
          <cell r="B109" t="str">
            <v>J</v>
          </cell>
          <cell r="C109">
            <v>98</v>
          </cell>
          <cell r="D109" t="str">
            <v>Shirecliffe J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60</v>
          </cell>
          <cell r="M109">
            <v>61</v>
          </cell>
          <cell r="N109">
            <v>59</v>
          </cell>
          <cell r="O109">
            <v>70</v>
          </cell>
          <cell r="P109">
            <v>250</v>
          </cell>
        </row>
        <row r="110">
          <cell r="A110">
            <v>99</v>
          </cell>
          <cell r="B110" t="str">
            <v>NIJ</v>
          </cell>
          <cell r="C110">
            <v>99</v>
          </cell>
          <cell r="D110" t="str">
            <v>Shooters Grove NIJ</v>
          </cell>
          <cell r="E110">
            <v>0</v>
          </cell>
          <cell r="F110">
            <v>73</v>
          </cell>
          <cell r="G110">
            <v>0</v>
          </cell>
          <cell r="H110">
            <v>60</v>
          </cell>
          <cell r="I110">
            <v>60</v>
          </cell>
          <cell r="J110">
            <v>60</v>
          </cell>
          <cell r="K110">
            <v>57</v>
          </cell>
          <cell r="L110">
            <v>60</v>
          </cell>
          <cell r="M110">
            <v>58</v>
          </cell>
          <cell r="N110">
            <v>55</v>
          </cell>
          <cell r="O110">
            <v>60</v>
          </cell>
          <cell r="P110">
            <v>446.5</v>
          </cell>
        </row>
        <row r="111">
          <cell r="A111">
            <v>100</v>
          </cell>
          <cell r="B111" t="str">
            <v>IJ</v>
          </cell>
          <cell r="C111">
            <v>100</v>
          </cell>
          <cell r="D111" t="str">
            <v>Short Brook IJ</v>
          </cell>
          <cell r="E111">
            <v>0</v>
          </cell>
          <cell r="F111">
            <v>0</v>
          </cell>
          <cell r="G111">
            <v>0</v>
          </cell>
          <cell r="H111">
            <v>18</v>
          </cell>
          <cell r="I111">
            <v>18</v>
          </cell>
          <cell r="J111">
            <v>25</v>
          </cell>
          <cell r="K111">
            <v>21</v>
          </cell>
          <cell r="L111">
            <v>19</v>
          </cell>
          <cell r="M111">
            <v>29</v>
          </cell>
          <cell r="N111">
            <v>28</v>
          </cell>
          <cell r="O111">
            <v>27</v>
          </cell>
          <cell r="P111">
            <v>167</v>
          </cell>
        </row>
        <row r="112">
          <cell r="A112">
            <v>101</v>
          </cell>
          <cell r="B112" t="str">
            <v>IJ</v>
          </cell>
          <cell r="C112">
            <v>101</v>
          </cell>
          <cell r="D112" t="str">
            <v>Sir Harold Jackson IJ</v>
          </cell>
          <cell r="E112">
            <v>0</v>
          </cell>
          <cell r="F112">
            <v>0</v>
          </cell>
          <cell r="G112">
            <v>0</v>
          </cell>
          <cell r="H112">
            <v>51</v>
          </cell>
          <cell r="I112">
            <v>51</v>
          </cell>
          <cell r="J112">
            <v>51</v>
          </cell>
          <cell r="K112">
            <v>49</v>
          </cell>
          <cell r="L112">
            <v>56</v>
          </cell>
          <cell r="M112">
            <v>58</v>
          </cell>
          <cell r="N112">
            <v>59</v>
          </cell>
          <cell r="O112">
            <v>60</v>
          </cell>
          <cell r="P112">
            <v>384</v>
          </cell>
        </row>
        <row r="113">
          <cell r="A113">
            <v>102</v>
          </cell>
          <cell r="B113" t="str">
            <v>J</v>
          </cell>
          <cell r="C113">
            <v>102</v>
          </cell>
          <cell r="D113" t="str">
            <v>Southey Green J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97</v>
          </cell>
          <cell r="M113">
            <v>92</v>
          </cell>
          <cell r="N113">
            <v>76</v>
          </cell>
          <cell r="O113">
            <v>95</v>
          </cell>
          <cell r="P113">
            <v>360</v>
          </cell>
        </row>
        <row r="114">
          <cell r="A114">
            <v>103</v>
          </cell>
          <cell r="B114" t="str">
            <v>NI</v>
          </cell>
          <cell r="C114">
            <v>103</v>
          </cell>
          <cell r="D114" t="str">
            <v>Southey Green NI</v>
          </cell>
          <cell r="E114">
            <v>27</v>
          </cell>
          <cell r="F114">
            <v>76</v>
          </cell>
          <cell r="G114">
            <v>0</v>
          </cell>
          <cell r="H114">
            <v>59</v>
          </cell>
          <cell r="I114">
            <v>59</v>
          </cell>
          <cell r="J114">
            <v>62</v>
          </cell>
          <cell r="K114">
            <v>74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260</v>
          </cell>
        </row>
        <row r="115">
          <cell r="A115">
            <v>104</v>
          </cell>
          <cell r="B115" t="str">
            <v>NIJ</v>
          </cell>
          <cell r="C115">
            <v>104</v>
          </cell>
          <cell r="D115" t="str">
            <v>Springfield NIJ</v>
          </cell>
          <cell r="E115">
            <v>14</v>
          </cell>
          <cell r="F115">
            <v>17</v>
          </cell>
          <cell r="G115">
            <v>0</v>
          </cell>
          <cell r="H115">
            <v>26</v>
          </cell>
          <cell r="I115">
            <v>26</v>
          </cell>
          <cell r="J115">
            <v>31</v>
          </cell>
          <cell r="K115">
            <v>27</v>
          </cell>
          <cell r="L115">
            <v>27</v>
          </cell>
          <cell r="M115">
            <v>25</v>
          </cell>
          <cell r="N115">
            <v>29</v>
          </cell>
          <cell r="O115">
            <v>30</v>
          </cell>
          <cell r="P115">
            <v>217.5</v>
          </cell>
        </row>
        <row r="116">
          <cell r="A116">
            <v>105</v>
          </cell>
          <cell r="B116" t="str">
            <v>IJ(A)</v>
          </cell>
          <cell r="C116">
            <v>105</v>
          </cell>
          <cell r="D116" t="str">
            <v>St.Anns (RC) IJ</v>
          </cell>
          <cell r="E116">
            <v>0</v>
          </cell>
          <cell r="F116">
            <v>0</v>
          </cell>
          <cell r="G116">
            <v>0</v>
          </cell>
          <cell r="H116">
            <v>20</v>
          </cell>
          <cell r="I116">
            <v>20</v>
          </cell>
          <cell r="J116">
            <v>16</v>
          </cell>
          <cell r="K116">
            <v>14</v>
          </cell>
          <cell r="L116">
            <v>14</v>
          </cell>
          <cell r="M116">
            <v>20</v>
          </cell>
          <cell r="N116">
            <v>15</v>
          </cell>
          <cell r="O116">
            <v>27</v>
          </cell>
          <cell r="P116">
            <v>126</v>
          </cell>
        </row>
        <row r="117">
          <cell r="A117">
            <v>106</v>
          </cell>
          <cell r="B117" t="str">
            <v>NIJ(A)</v>
          </cell>
          <cell r="C117">
            <v>106</v>
          </cell>
          <cell r="D117" t="str">
            <v>St.Catherines(RC) NIJ</v>
          </cell>
          <cell r="E117">
            <v>0</v>
          </cell>
          <cell r="F117">
            <v>43</v>
          </cell>
          <cell r="G117">
            <v>0</v>
          </cell>
          <cell r="H117">
            <v>29</v>
          </cell>
          <cell r="I117">
            <v>29</v>
          </cell>
          <cell r="J117">
            <v>30</v>
          </cell>
          <cell r="K117">
            <v>29</v>
          </cell>
          <cell r="L117">
            <v>29</v>
          </cell>
          <cell r="M117">
            <v>32</v>
          </cell>
          <cell r="N117">
            <v>27</v>
          </cell>
          <cell r="O117">
            <v>30</v>
          </cell>
          <cell r="P117">
            <v>227.5</v>
          </cell>
        </row>
        <row r="118">
          <cell r="A118">
            <v>107</v>
          </cell>
          <cell r="B118" t="str">
            <v>IJ(A)</v>
          </cell>
          <cell r="C118">
            <v>107</v>
          </cell>
          <cell r="D118" t="str">
            <v>St.John Fisher (RC) IJ</v>
          </cell>
          <cell r="E118">
            <v>0</v>
          </cell>
          <cell r="F118">
            <v>0</v>
          </cell>
          <cell r="G118">
            <v>0</v>
          </cell>
          <cell r="H118">
            <v>24</v>
          </cell>
          <cell r="I118">
            <v>24</v>
          </cell>
          <cell r="J118">
            <v>27</v>
          </cell>
          <cell r="K118">
            <v>33</v>
          </cell>
          <cell r="L118">
            <v>30</v>
          </cell>
          <cell r="M118">
            <v>33</v>
          </cell>
          <cell r="N118">
            <v>32</v>
          </cell>
          <cell r="O118">
            <v>33</v>
          </cell>
          <cell r="P118">
            <v>212</v>
          </cell>
        </row>
        <row r="119">
          <cell r="A119">
            <v>108</v>
          </cell>
          <cell r="B119" t="str">
            <v>NIJ(A)</v>
          </cell>
          <cell r="C119">
            <v>108</v>
          </cell>
          <cell r="D119" t="str">
            <v>St.Johns (CE) NIJ</v>
          </cell>
          <cell r="E119">
            <v>0</v>
          </cell>
          <cell r="F119">
            <v>25</v>
          </cell>
          <cell r="G119">
            <v>0</v>
          </cell>
          <cell r="H119">
            <v>17</v>
          </cell>
          <cell r="I119">
            <v>17</v>
          </cell>
          <cell r="J119">
            <v>14</v>
          </cell>
          <cell r="K119">
            <v>17</v>
          </cell>
          <cell r="L119">
            <v>12</v>
          </cell>
          <cell r="M119">
            <v>29</v>
          </cell>
          <cell r="N119">
            <v>26</v>
          </cell>
          <cell r="O119">
            <v>13</v>
          </cell>
          <cell r="P119">
            <v>140.5</v>
          </cell>
        </row>
        <row r="120">
          <cell r="A120">
            <v>109</v>
          </cell>
          <cell r="B120" t="str">
            <v>NIJ(A)</v>
          </cell>
          <cell r="C120">
            <v>109</v>
          </cell>
          <cell r="D120" t="str">
            <v xml:space="preserve">St.Josephs (RC) NIJ </v>
          </cell>
          <cell r="E120">
            <v>0</v>
          </cell>
          <cell r="F120">
            <v>39</v>
          </cell>
          <cell r="G120">
            <v>0</v>
          </cell>
          <cell r="H120">
            <v>30</v>
          </cell>
          <cell r="I120">
            <v>30</v>
          </cell>
          <cell r="J120">
            <v>29</v>
          </cell>
          <cell r="K120">
            <v>29</v>
          </cell>
          <cell r="L120">
            <v>28</v>
          </cell>
          <cell r="M120">
            <v>31</v>
          </cell>
          <cell r="N120">
            <v>29</v>
          </cell>
          <cell r="O120">
            <v>25</v>
          </cell>
          <cell r="P120">
            <v>220.5</v>
          </cell>
        </row>
        <row r="121">
          <cell r="A121">
            <v>110</v>
          </cell>
          <cell r="B121" t="str">
            <v>IJ(A)</v>
          </cell>
          <cell r="C121">
            <v>110</v>
          </cell>
          <cell r="D121" t="str">
            <v>St.Maries (RC) IJ</v>
          </cell>
          <cell r="E121">
            <v>0</v>
          </cell>
          <cell r="F121">
            <v>0</v>
          </cell>
          <cell r="G121">
            <v>0</v>
          </cell>
          <cell r="H121">
            <v>40</v>
          </cell>
          <cell r="I121">
            <v>40</v>
          </cell>
          <cell r="J121">
            <v>41</v>
          </cell>
          <cell r="K121">
            <v>39</v>
          </cell>
          <cell r="L121">
            <v>34</v>
          </cell>
          <cell r="M121">
            <v>41</v>
          </cell>
          <cell r="N121">
            <v>36</v>
          </cell>
          <cell r="O121">
            <v>41</v>
          </cell>
          <cell r="P121">
            <v>272</v>
          </cell>
        </row>
        <row r="122">
          <cell r="A122">
            <v>111</v>
          </cell>
          <cell r="B122" t="str">
            <v>NIJ(A)</v>
          </cell>
          <cell r="C122">
            <v>111</v>
          </cell>
          <cell r="D122" t="str">
            <v>St.Marys (CE) NIJ</v>
          </cell>
          <cell r="E122">
            <v>1</v>
          </cell>
          <cell r="F122">
            <v>30</v>
          </cell>
          <cell r="G122">
            <v>1</v>
          </cell>
          <cell r="H122">
            <v>22</v>
          </cell>
          <cell r="I122">
            <v>22.5</v>
          </cell>
          <cell r="J122">
            <v>29</v>
          </cell>
          <cell r="K122">
            <v>30</v>
          </cell>
          <cell r="L122">
            <v>30</v>
          </cell>
          <cell r="M122">
            <v>28</v>
          </cell>
          <cell r="N122">
            <v>30</v>
          </cell>
          <cell r="O122">
            <v>19</v>
          </cell>
          <cell r="P122">
            <v>204.5</v>
          </cell>
        </row>
        <row r="123">
          <cell r="A123">
            <v>112</v>
          </cell>
          <cell r="B123" t="str">
            <v>IJ(A)</v>
          </cell>
          <cell r="C123">
            <v>112</v>
          </cell>
          <cell r="D123" t="str">
            <v>St.Marys(RC) IJ</v>
          </cell>
          <cell r="E123">
            <v>0</v>
          </cell>
          <cell r="F123">
            <v>0</v>
          </cell>
          <cell r="G123">
            <v>0</v>
          </cell>
          <cell r="H123">
            <v>28</v>
          </cell>
          <cell r="I123">
            <v>28</v>
          </cell>
          <cell r="J123">
            <v>29</v>
          </cell>
          <cell r="K123">
            <v>29</v>
          </cell>
          <cell r="L123">
            <v>33</v>
          </cell>
          <cell r="M123">
            <v>34</v>
          </cell>
          <cell r="N123">
            <v>26</v>
          </cell>
          <cell r="O123">
            <v>33</v>
          </cell>
          <cell r="P123">
            <v>212</v>
          </cell>
        </row>
        <row r="124">
          <cell r="A124">
            <v>113</v>
          </cell>
          <cell r="B124" t="str">
            <v>IJ(A)</v>
          </cell>
          <cell r="C124">
            <v>113</v>
          </cell>
          <cell r="D124" t="str">
            <v>St.Oswalds (RC) IJ</v>
          </cell>
          <cell r="E124">
            <v>0</v>
          </cell>
          <cell r="F124">
            <v>0</v>
          </cell>
          <cell r="G124">
            <v>0</v>
          </cell>
          <cell r="H124">
            <v>24</v>
          </cell>
          <cell r="I124">
            <v>24</v>
          </cell>
          <cell r="J124">
            <v>28</v>
          </cell>
          <cell r="K124">
            <v>25</v>
          </cell>
          <cell r="L124">
            <v>26</v>
          </cell>
          <cell r="M124">
            <v>29</v>
          </cell>
          <cell r="N124">
            <v>30</v>
          </cell>
          <cell r="O124">
            <v>28</v>
          </cell>
          <cell r="P124">
            <v>190</v>
          </cell>
        </row>
        <row r="125">
          <cell r="A125">
            <v>114</v>
          </cell>
          <cell r="B125" t="str">
            <v>NIJ(A)</v>
          </cell>
          <cell r="C125">
            <v>114</v>
          </cell>
          <cell r="D125" t="str">
            <v>St.Patricks (RC) NIJ</v>
          </cell>
          <cell r="E125">
            <v>0</v>
          </cell>
          <cell r="F125">
            <v>53</v>
          </cell>
          <cell r="G125">
            <v>0</v>
          </cell>
          <cell r="H125">
            <v>44</v>
          </cell>
          <cell r="I125">
            <v>44</v>
          </cell>
          <cell r="J125">
            <v>45</v>
          </cell>
          <cell r="K125">
            <v>44</v>
          </cell>
          <cell r="L125">
            <v>45</v>
          </cell>
          <cell r="M125">
            <v>42</v>
          </cell>
          <cell r="N125">
            <v>43</v>
          </cell>
          <cell r="O125">
            <v>42</v>
          </cell>
          <cell r="P125">
            <v>331.5</v>
          </cell>
        </row>
        <row r="126">
          <cell r="A126">
            <v>115</v>
          </cell>
          <cell r="B126" t="str">
            <v>NIJ(A)</v>
          </cell>
          <cell r="C126">
            <v>115</v>
          </cell>
          <cell r="D126" t="str">
            <v>St.Theresas (RC) NIJ</v>
          </cell>
          <cell r="E126">
            <v>0</v>
          </cell>
          <cell r="F126">
            <v>39</v>
          </cell>
          <cell r="G126">
            <v>0</v>
          </cell>
          <cell r="H126">
            <v>29</v>
          </cell>
          <cell r="I126">
            <v>29</v>
          </cell>
          <cell r="J126">
            <v>29</v>
          </cell>
          <cell r="K126">
            <v>30</v>
          </cell>
          <cell r="L126">
            <v>29</v>
          </cell>
          <cell r="M126">
            <v>26</v>
          </cell>
          <cell r="N126">
            <v>30</v>
          </cell>
          <cell r="O126">
            <v>27</v>
          </cell>
          <cell r="P126">
            <v>219.5</v>
          </cell>
        </row>
        <row r="127">
          <cell r="A127">
            <v>116</v>
          </cell>
          <cell r="B127" t="str">
            <v>IJ(A)</v>
          </cell>
          <cell r="C127">
            <v>116</v>
          </cell>
          <cell r="D127" t="str">
            <v>St.Thomas More (RC) IJ</v>
          </cell>
          <cell r="E127">
            <v>0</v>
          </cell>
          <cell r="F127">
            <v>0</v>
          </cell>
          <cell r="G127">
            <v>0</v>
          </cell>
          <cell r="H127">
            <v>24</v>
          </cell>
          <cell r="I127">
            <v>24</v>
          </cell>
          <cell r="J127">
            <v>24</v>
          </cell>
          <cell r="K127">
            <v>30</v>
          </cell>
          <cell r="L127">
            <v>30</v>
          </cell>
          <cell r="M127">
            <v>28</v>
          </cell>
          <cell r="N127">
            <v>21</v>
          </cell>
          <cell r="O127">
            <v>23</v>
          </cell>
          <cell r="P127">
            <v>180</v>
          </cell>
        </row>
        <row r="128">
          <cell r="A128">
            <v>117</v>
          </cell>
          <cell r="B128" t="str">
            <v>IJ(A)</v>
          </cell>
          <cell r="C128">
            <v>117</v>
          </cell>
          <cell r="D128" t="str">
            <v>St.Thos.of Cant.(RC)IJ</v>
          </cell>
          <cell r="E128">
            <v>0</v>
          </cell>
          <cell r="F128">
            <v>0</v>
          </cell>
          <cell r="G128">
            <v>0</v>
          </cell>
          <cell r="H128">
            <v>28</v>
          </cell>
          <cell r="I128">
            <v>28</v>
          </cell>
          <cell r="J128">
            <v>30</v>
          </cell>
          <cell r="K128">
            <v>29</v>
          </cell>
          <cell r="L128">
            <v>31</v>
          </cell>
          <cell r="M128">
            <v>29</v>
          </cell>
          <cell r="N128">
            <v>29</v>
          </cell>
          <cell r="O128">
            <v>30</v>
          </cell>
          <cell r="P128">
            <v>206</v>
          </cell>
        </row>
        <row r="129">
          <cell r="A129">
            <v>118</v>
          </cell>
          <cell r="B129" t="str">
            <v>IJ(A)</v>
          </cell>
          <cell r="C129">
            <v>118</v>
          </cell>
          <cell r="D129" t="str">
            <v>St.Wilfrids (RC) IJ</v>
          </cell>
          <cell r="E129">
            <v>0</v>
          </cell>
          <cell r="F129">
            <v>0</v>
          </cell>
          <cell r="G129">
            <v>0</v>
          </cell>
          <cell r="H129">
            <v>40</v>
          </cell>
          <cell r="I129">
            <v>40</v>
          </cell>
          <cell r="J129">
            <v>41</v>
          </cell>
          <cell r="K129">
            <v>39</v>
          </cell>
          <cell r="L129">
            <v>41</v>
          </cell>
          <cell r="M129">
            <v>37</v>
          </cell>
          <cell r="N129">
            <v>35</v>
          </cell>
          <cell r="O129">
            <v>35</v>
          </cell>
          <cell r="P129">
            <v>268</v>
          </cell>
        </row>
        <row r="130">
          <cell r="A130">
            <v>119</v>
          </cell>
          <cell r="B130" t="str">
            <v>I</v>
          </cell>
          <cell r="C130">
            <v>119</v>
          </cell>
          <cell r="D130" t="str">
            <v>Stannington I</v>
          </cell>
          <cell r="E130">
            <v>0</v>
          </cell>
          <cell r="F130">
            <v>0</v>
          </cell>
          <cell r="G130">
            <v>0</v>
          </cell>
          <cell r="H130">
            <v>60</v>
          </cell>
          <cell r="I130">
            <v>60</v>
          </cell>
          <cell r="J130">
            <v>54</v>
          </cell>
          <cell r="K130">
            <v>55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169</v>
          </cell>
        </row>
        <row r="131">
          <cell r="A131">
            <v>120</v>
          </cell>
          <cell r="B131" t="str">
            <v>J</v>
          </cell>
          <cell r="C131">
            <v>120</v>
          </cell>
          <cell r="D131" t="str">
            <v>Stocksbridge J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75</v>
          </cell>
          <cell r="M131">
            <v>65</v>
          </cell>
          <cell r="N131">
            <v>84</v>
          </cell>
          <cell r="O131">
            <v>95</v>
          </cell>
          <cell r="P131">
            <v>319</v>
          </cell>
        </row>
        <row r="132">
          <cell r="A132">
            <v>121</v>
          </cell>
          <cell r="B132" t="str">
            <v>NI</v>
          </cell>
          <cell r="C132">
            <v>121</v>
          </cell>
          <cell r="D132" t="str">
            <v>Stocksbridge NI</v>
          </cell>
          <cell r="E132">
            <v>0</v>
          </cell>
          <cell r="F132">
            <v>71</v>
          </cell>
          <cell r="G132">
            <v>0</v>
          </cell>
          <cell r="H132">
            <v>89</v>
          </cell>
          <cell r="I132">
            <v>89</v>
          </cell>
          <cell r="J132">
            <v>61</v>
          </cell>
          <cell r="K132">
            <v>79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264.5</v>
          </cell>
        </row>
        <row r="133">
          <cell r="A133">
            <v>122</v>
          </cell>
          <cell r="B133" t="str">
            <v>NIJ</v>
          </cell>
          <cell r="C133">
            <v>122</v>
          </cell>
          <cell r="D133" t="str">
            <v>Stradbroke NIJ</v>
          </cell>
          <cell r="E133">
            <v>0</v>
          </cell>
          <cell r="F133">
            <v>74</v>
          </cell>
          <cell r="G133">
            <v>0</v>
          </cell>
          <cell r="H133">
            <v>49</v>
          </cell>
          <cell r="I133">
            <v>49</v>
          </cell>
          <cell r="J133">
            <v>55</v>
          </cell>
          <cell r="K133">
            <v>60</v>
          </cell>
          <cell r="L133">
            <v>57</v>
          </cell>
          <cell r="M133">
            <v>54</v>
          </cell>
          <cell r="N133">
            <v>59</v>
          </cell>
          <cell r="O133">
            <v>59</v>
          </cell>
          <cell r="P133">
            <v>430</v>
          </cell>
        </row>
        <row r="134">
          <cell r="A134">
            <v>123</v>
          </cell>
          <cell r="B134" t="str">
            <v>J</v>
          </cell>
          <cell r="C134">
            <v>123</v>
          </cell>
          <cell r="D134" t="str">
            <v>Tinsley J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46</v>
          </cell>
          <cell r="M134">
            <v>59</v>
          </cell>
          <cell r="N134">
            <v>55</v>
          </cell>
          <cell r="O134">
            <v>50</v>
          </cell>
          <cell r="P134">
            <v>210</v>
          </cell>
        </row>
        <row r="135">
          <cell r="A135">
            <v>124</v>
          </cell>
          <cell r="B135" t="str">
            <v>NI</v>
          </cell>
          <cell r="C135">
            <v>124</v>
          </cell>
          <cell r="D135" t="str">
            <v>Tinsley NI</v>
          </cell>
          <cell r="E135">
            <v>0</v>
          </cell>
          <cell r="F135">
            <v>78</v>
          </cell>
          <cell r="G135">
            <v>0</v>
          </cell>
          <cell r="H135">
            <v>72</v>
          </cell>
          <cell r="I135">
            <v>72</v>
          </cell>
          <cell r="J135">
            <v>58</v>
          </cell>
          <cell r="K135">
            <v>50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219</v>
          </cell>
        </row>
        <row r="136">
          <cell r="A136">
            <v>125</v>
          </cell>
          <cell r="B136" t="str">
            <v>IJ(A)</v>
          </cell>
          <cell r="C136">
            <v>125</v>
          </cell>
          <cell r="D136" t="str">
            <v>Totley All Saints (CE) (VA) IJ</v>
          </cell>
          <cell r="E136">
            <v>0</v>
          </cell>
          <cell r="F136">
            <v>0</v>
          </cell>
          <cell r="G136">
            <v>0</v>
          </cell>
          <cell r="H136">
            <v>30</v>
          </cell>
          <cell r="I136">
            <v>30</v>
          </cell>
          <cell r="J136">
            <v>30</v>
          </cell>
          <cell r="K136">
            <v>30</v>
          </cell>
          <cell r="L136">
            <v>29</v>
          </cell>
          <cell r="M136">
            <v>30</v>
          </cell>
          <cell r="N136">
            <v>25</v>
          </cell>
          <cell r="O136">
            <v>32</v>
          </cell>
          <cell r="P136">
            <v>206</v>
          </cell>
        </row>
        <row r="137">
          <cell r="A137">
            <v>126</v>
          </cell>
          <cell r="B137" t="str">
            <v>IJ</v>
          </cell>
          <cell r="C137">
            <v>126</v>
          </cell>
          <cell r="D137" t="str">
            <v>Totley IJ</v>
          </cell>
          <cell r="E137">
            <v>0</v>
          </cell>
          <cell r="F137">
            <v>0</v>
          </cell>
          <cell r="G137">
            <v>0</v>
          </cell>
          <cell r="H137">
            <v>29</v>
          </cell>
          <cell r="I137">
            <v>29</v>
          </cell>
          <cell r="J137">
            <v>31</v>
          </cell>
          <cell r="K137">
            <v>28</v>
          </cell>
          <cell r="L137">
            <v>27</v>
          </cell>
          <cell r="M137">
            <v>27</v>
          </cell>
          <cell r="N137">
            <v>33</v>
          </cell>
          <cell r="O137">
            <v>33</v>
          </cell>
          <cell r="P137">
            <v>208</v>
          </cell>
        </row>
        <row r="138">
          <cell r="A138">
            <v>127</v>
          </cell>
          <cell r="B138" t="str">
            <v>NIJ</v>
          </cell>
          <cell r="C138">
            <v>127</v>
          </cell>
          <cell r="D138" t="str">
            <v>Valley Park NIJ</v>
          </cell>
          <cell r="E138">
            <v>0</v>
          </cell>
          <cell r="F138">
            <v>54</v>
          </cell>
          <cell r="G138">
            <v>0</v>
          </cell>
          <cell r="H138">
            <v>53</v>
          </cell>
          <cell r="I138">
            <v>53</v>
          </cell>
          <cell r="J138">
            <v>54</v>
          </cell>
          <cell r="K138">
            <v>47</v>
          </cell>
          <cell r="L138">
            <v>38</v>
          </cell>
          <cell r="M138">
            <v>46</v>
          </cell>
          <cell r="N138">
            <v>55</v>
          </cell>
          <cell r="O138">
            <v>56</v>
          </cell>
          <cell r="P138">
            <v>376</v>
          </cell>
        </row>
        <row r="139">
          <cell r="A139">
            <v>128</v>
          </cell>
          <cell r="B139" t="str">
            <v>NIJ</v>
          </cell>
          <cell r="C139">
            <v>128</v>
          </cell>
          <cell r="D139" t="str">
            <v>Walkley NIJ</v>
          </cell>
          <cell r="E139">
            <v>0</v>
          </cell>
          <cell r="F139">
            <v>30</v>
          </cell>
          <cell r="G139">
            <v>0</v>
          </cell>
          <cell r="H139">
            <v>37</v>
          </cell>
          <cell r="I139">
            <v>37</v>
          </cell>
          <cell r="J139">
            <v>32</v>
          </cell>
          <cell r="K139">
            <v>40</v>
          </cell>
          <cell r="L139">
            <v>36</v>
          </cell>
          <cell r="M139">
            <v>31</v>
          </cell>
          <cell r="N139">
            <v>37</v>
          </cell>
          <cell r="O139">
            <v>34</v>
          </cell>
          <cell r="P139">
            <v>262</v>
          </cell>
        </row>
        <row r="140">
          <cell r="A140">
            <v>129</v>
          </cell>
          <cell r="B140" t="str">
            <v>NI</v>
          </cell>
          <cell r="C140">
            <v>129</v>
          </cell>
          <cell r="D140" t="str">
            <v>Watermead NI</v>
          </cell>
          <cell r="E140">
            <v>13</v>
          </cell>
          <cell r="F140">
            <v>38</v>
          </cell>
          <cell r="G140">
            <v>0</v>
          </cell>
          <cell r="H140">
            <v>35</v>
          </cell>
          <cell r="I140">
            <v>35</v>
          </cell>
          <cell r="J140">
            <v>43</v>
          </cell>
          <cell r="K140">
            <v>45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155</v>
          </cell>
        </row>
        <row r="141">
          <cell r="A141">
            <v>130</v>
          </cell>
          <cell r="B141" t="str">
            <v>I</v>
          </cell>
          <cell r="C141">
            <v>130</v>
          </cell>
          <cell r="D141" t="str">
            <v>Waterthorpe I</v>
          </cell>
          <cell r="E141">
            <v>0</v>
          </cell>
          <cell r="F141">
            <v>0</v>
          </cell>
          <cell r="G141">
            <v>0</v>
          </cell>
          <cell r="H141">
            <v>62</v>
          </cell>
          <cell r="I141">
            <v>62</v>
          </cell>
          <cell r="J141">
            <v>47</v>
          </cell>
          <cell r="K141">
            <v>58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167</v>
          </cell>
        </row>
        <row r="142">
          <cell r="A142">
            <v>131</v>
          </cell>
          <cell r="B142" t="str">
            <v>NIJ</v>
          </cell>
          <cell r="C142">
            <v>131</v>
          </cell>
          <cell r="D142" t="str">
            <v>Westways NIJ</v>
          </cell>
          <cell r="E142">
            <v>0</v>
          </cell>
          <cell r="F142">
            <v>44</v>
          </cell>
          <cell r="G142">
            <v>0</v>
          </cell>
          <cell r="H142">
            <v>69</v>
          </cell>
          <cell r="I142">
            <v>69</v>
          </cell>
          <cell r="J142">
            <v>54</v>
          </cell>
          <cell r="K142">
            <v>61</v>
          </cell>
          <cell r="L142">
            <v>49</v>
          </cell>
          <cell r="M142">
            <v>67</v>
          </cell>
          <cell r="N142">
            <v>50</v>
          </cell>
          <cell r="O142">
            <v>53</v>
          </cell>
          <cell r="P142">
            <v>425</v>
          </cell>
        </row>
        <row r="143">
          <cell r="A143">
            <v>132</v>
          </cell>
          <cell r="B143" t="str">
            <v>NIJ</v>
          </cell>
          <cell r="C143">
            <v>132</v>
          </cell>
          <cell r="D143" t="str">
            <v>Wharncliffe Side NIJ</v>
          </cell>
          <cell r="E143">
            <v>0</v>
          </cell>
          <cell r="F143">
            <v>44</v>
          </cell>
          <cell r="G143">
            <v>1</v>
          </cell>
          <cell r="H143">
            <v>14</v>
          </cell>
          <cell r="I143">
            <v>14.5</v>
          </cell>
          <cell r="J143">
            <v>18</v>
          </cell>
          <cell r="K143">
            <v>21</v>
          </cell>
          <cell r="L143">
            <v>24</v>
          </cell>
          <cell r="M143">
            <v>22</v>
          </cell>
          <cell r="N143">
            <v>22</v>
          </cell>
          <cell r="O143">
            <v>23</v>
          </cell>
          <cell r="P143">
            <v>166.5</v>
          </cell>
        </row>
        <row r="144">
          <cell r="A144">
            <v>133</v>
          </cell>
          <cell r="B144" t="str">
            <v>J</v>
          </cell>
          <cell r="C144">
            <v>133</v>
          </cell>
          <cell r="D144" t="str">
            <v>Whiteways J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70</v>
          </cell>
          <cell r="M144">
            <v>80</v>
          </cell>
          <cell r="N144">
            <v>90</v>
          </cell>
          <cell r="O144">
            <v>93</v>
          </cell>
          <cell r="P144">
            <v>333</v>
          </cell>
        </row>
        <row r="145">
          <cell r="A145">
            <v>134</v>
          </cell>
          <cell r="B145" t="str">
            <v>NI</v>
          </cell>
          <cell r="C145">
            <v>134</v>
          </cell>
          <cell r="D145" t="str">
            <v>Wincobank NI</v>
          </cell>
          <cell r="E145">
            <v>0</v>
          </cell>
          <cell r="F145">
            <v>64</v>
          </cell>
          <cell r="G145">
            <v>0</v>
          </cell>
          <cell r="H145">
            <v>70</v>
          </cell>
          <cell r="I145">
            <v>70</v>
          </cell>
          <cell r="J145">
            <v>55</v>
          </cell>
          <cell r="K145">
            <v>61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218</v>
          </cell>
        </row>
        <row r="146">
          <cell r="A146">
            <v>135</v>
          </cell>
          <cell r="B146" t="str">
            <v>IJ</v>
          </cell>
          <cell r="C146">
            <v>135</v>
          </cell>
          <cell r="D146" t="str">
            <v>Windmill Hill IJ</v>
          </cell>
          <cell r="E146">
            <v>0</v>
          </cell>
          <cell r="F146">
            <v>0</v>
          </cell>
          <cell r="G146">
            <v>0</v>
          </cell>
          <cell r="H146">
            <v>44</v>
          </cell>
          <cell r="I146">
            <v>44</v>
          </cell>
          <cell r="J146">
            <v>52</v>
          </cell>
          <cell r="K146">
            <v>53</v>
          </cell>
          <cell r="L146">
            <v>46</v>
          </cell>
          <cell r="M146">
            <v>54</v>
          </cell>
          <cell r="N146">
            <v>50</v>
          </cell>
          <cell r="O146">
            <v>53</v>
          </cell>
          <cell r="P146">
            <v>352</v>
          </cell>
        </row>
        <row r="147">
          <cell r="A147">
            <v>136</v>
          </cell>
          <cell r="B147" t="str">
            <v>IJ</v>
          </cell>
          <cell r="C147">
            <v>136</v>
          </cell>
          <cell r="D147" t="str">
            <v>Wisewood IJ</v>
          </cell>
          <cell r="E147">
            <v>0</v>
          </cell>
          <cell r="F147">
            <v>0</v>
          </cell>
          <cell r="G147">
            <v>0</v>
          </cell>
          <cell r="H147">
            <v>22</v>
          </cell>
          <cell r="I147">
            <v>22</v>
          </cell>
          <cell r="J147">
            <v>23</v>
          </cell>
          <cell r="K147">
            <v>27</v>
          </cell>
          <cell r="L147">
            <v>31</v>
          </cell>
          <cell r="M147">
            <v>29</v>
          </cell>
          <cell r="N147">
            <v>30</v>
          </cell>
          <cell r="O147">
            <v>47</v>
          </cell>
          <cell r="P147">
            <v>209</v>
          </cell>
        </row>
        <row r="148">
          <cell r="A148">
            <v>137</v>
          </cell>
          <cell r="B148" t="str">
            <v>NIJ</v>
          </cell>
          <cell r="C148">
            <v>137</v>
          </cell>
          <cell r="D148" t="str">
            <v>Woodhouse West NIJ</v>
          </cell>
          <cell r="E148">
            <v>0</v>
          </cell>
          <cell r="F148">
            <v>52</v>
          </cell>
          <cell r="G148">
            <v>0</v>
          </cell>
          <cell r="H148">
            <v>49</v>
          </cell>
          <cell r="I148">
            <v>49</v>
          </cell>
          <cell r="J148">
            <v>48</v>
          </cell>
          <cell r="K148">
            <v>50</v>
          </cell>
          <cell r="L148">
            <v>49</v>
          </cell>
          <cell r="M148">
            <v>49</v>
          </cell>
          <cell r="N148">
            <v>51</v>
          </cell>
          <cell r="O148">
            <v>41</v>
          </cell>
          <cell r="P148">
            <v>363</v>
          </cell>
        </row>
        <row r="149">
          <cell r="A149">
            <v>138</v>
          </cell>
          <cell r="B149" t="str">
            <v>NIJ</v>
          </cell>
          <cell r="C149">
            <v>138</v>
          </cell>
          <cell r="D149" t="str">
            <v>Woodseats NIJ</v>
          </cell>
          <cell r="E149">
            <v>0</v>
          </cell>
          <cell r="F149">
            <v>52</v>
          </cell>
          <cell r="G149">
            <v>0</v>
          </cell>
          <cell r="H149">
            <v>50</v>
          </cell>
          <cell r="I149">
            <v>50</v>
          </cell>
          <cell r="J149">
            <v>59</v>
          </cell>
          <cell r="K149">
            <v>56</v>
          </cell>
          <cell r="L149">
            <v>56</v>
          </cell>
          <cell r="M149">
            <v>49</v>
          </cell>
          <cell r="N149">
            <v>59</v>
          </cell>
          <cell r="O149">
            <v>57</v>
          </cell>
          <cell r="P149">
            <v>412</v>
          </cell>
        </row>
        <row r="150">
          <cell r="A150">
            <v>139</v>
          </cell>
          <cell r="B150" t="str">
            <v>NIJ</v>
          </cell>
          <cell r="C150">
            <v>139</v>
          </cell>
          <cell r="D150" t="str">
            <v>Woodthorpe NIJ</v>
          </cell>
          <cell r="E150">
            <v>0</v>
          </cell>
          <cell r="F150">
            <v>58</v>
          </cell>
          <cell r="G150">
            <v>0</v>
          </cell>
          <cell r="H150">
            <v>31</v>
          </cell>
          <cell r="I150">
            <v>31</v>
          </cell>
          <cell r="J150">
            <v>47</v>
          </cell>
          <cell r="K150">
            <v>49</v>
          </cell>
          <cell r="L150">
            <v>52</v>
          </cell>
          <cell r="M150">
            <v>40</v>
          </cell>
          <cell r="N150">
            <v>59</v>
          </cell>
          <cell r="O150">
            <v>52</v>
          </cell>
          <cell r="P150">
            <v>359</v>
          </cell>
        </row>
        <row r="151">
          <cell r="A151">
            <v>140</v>
          </cell>
          <cell r="B151" t="str">
            <v>IJ</v>
          </cell>
          <cell r="C151">
            <v>140</v>
          </cell>
          <cell r="D151" t="str">
            <v>Wybourn IJ</v>
          </cell>
          <cell r="E151">
            <v>0</v>
          </cell>
          <cell r="F151">
            <v>0</v>
          </cell>
          <cell r="G151">
            <v>0</v>
          </cell>
          <cell r="H151">
            <v>40</v>
          </cell>
          <cell r="I151">
            <v>40</v>
          </cell>
          <cell r="J151">
            <v>32</v>
          </cell>
          <cell r="K151">
            <v>55</v>
          </cell>
          <cell r="L151">
            <v>45</v>
          </cell>
          <cell r="M151">
            <v>45</v>
          </cell>
          <cell r="N151">
            <v>39</v>
          </cell>
          <cell r="O151">
            <v>53</v>
          </cell>
          <cell r="P151">
            <v>309</v>
          </cell>
        </row>
        <row r="152">
          <cell r="A152">
            <v>141</v>
          </cell>
        </row>
        <row r="153">
          <cell r="A153">
            <v>142</v>
          </cell>
          <cell r="D153" t="str">
            <v>Total Primary</v>
          </cell>
          <cell r="E153">
            <v>147</v>
          </cell>
          <cell r="F153">
            <v>3394</v>
          </cell>
          <cell r="G153">
            <v>7</v>
          </cell>
          <cell r="H153">
            <v>5514</v>
          </cell>
          <cell r="I153">
            <v>5517.5</v>
          </cell>
          <cell r="J153">
            <v>5669</v>
          </cell>
          <cell r="K153">
            <v>5797</v>
          </cell>
          <cell r="L153">
            <v>5598</v>
          </cell>
          <cell r="M153">
            <v>5814</v>
          </cell>
          <cell r="N153">
            <v>5908</v>
          </cell>
          <cell r="O153">
            <v>6023</v>
          </cell>
          <cell r="P153">
            <v>42170.5</v>
          </cell>
        </row>
        <row r="154">
          <cell r="A154">
            <v>143</v>
          </cell>
        </row>
        <row r="155">
          <cell r="A155">
            <v>144</v>
          </cell>
          <cell r="D155" t="str">
            <v>Middle Deemed Secondary</v>
          </cell>
        </row>
        <row r="156">
          <cell r="A156">
            <v>145</v>
          </cell>
        </row>
        <row r="157">
          <cell r="A157">
            <v>146</v>
          </cell>
          <cell r="B157" t="str">
            <v>SECM</v>
          </cell>
          <cell r="C157">
            <v>162</v>
          </cell>
          <cell r="D157" t="str">
            <v>Hinde House 3-16</v>
          </cell>
          <cell r="E157">
            <v>0</v>
          </cell>
          <cell r="F157">
            <v>43</v>
          </cell>
          <cell r="G157">
            <v>0</v>
          </cell>
          <cell r="H157">
            <v>33</v>
          </cell>
          <cell r="I157">
            <v>33</v>
          </cell>
          <cell r="J157">
            <v>29</v>
          </cell>
          <cell r="K157">
            <v>47</v>
          </cell>
          <cell r="L157">
            <v>44</v>
          </cell>
          <cell r="M157">
            <v>51</v>
          </cell>
          <cell r="N157">
            <v>36</v>
          </cell>
          <cell r="O157">
            <v>50</v>
          </cell>
          <cell r="P157">
            <v>311.5</v>
          </cell>
        </row>
        <row r="158">
          <cell r="A158">
            <v>147</v>
          </cell>
        </row>
        <row r="159">
          <cell r="A159">
            <v>148</v>
          </cell>
          <cell r="D159" t="str">
            <v>Total Middle Deemed Secondary</v>
          </cell>
          <cell r="E159">
            <v>0</v>
          </cell>
          <cell r="F159">
            <v>43</v>
          </cell>
          <cell r="G159">
            <v>0</v>
          </cell>
          <cell r="H159">
            <v>33</v>
          </cell>
          <cell r="I159">
            <v>33</v>
          </cell>
          <cell r="J159">
            <v>29</v>
          </cell>
          <cell r="K159">
            <v>47</v>
          </cell>
          <cell r="L159">
            <v>44</v>
          </cell>
          <cell r="M159">
            <v>51</v>
          </cell>
          <cell r="N159">
            <v>36</v>
          </cell>
          <cell r="O159">
            <v>50</v>
          </cell>
          <cell r="P159">
            <v>311.5</v>
          </cell>
        </row>
        <row r="160">
          <cell r="A160">
            <v>149</v>
          </cell>
        </row>
        <row r="161">
          <cell r="A161">
            <v>150</v>
          </cell>
          <cell r="D161" t="str">
            <v>Total All Primary Schools</v>
          </cell>
          <cell r="E161">
            <v>147</v>
          </cell>
          <cell r="F161">
            <v>3437</v>
          </cell>
          <cell r="G161">
            <v>7</v>
          </cell>
          <cell r="H161">
            <v>5547</v>
          </cell>
          <cell r="I161">
            <v>5550.5</v>
          </cell>
          <cell r="J161">
            <v>5698</v>
          </cell>
          <cell r="K161">
            <v>5844</v>
          </cell>
          <cell r="L161">
            <v>5642</v>
          </cell>
          <cell r="M161">
            <v>5865</v>
          </cell>
          <cell r="N161">
            <v>5944</v>
          </cell>
          <cell r="O161">
            <v>6073</v>
          </cell>
          <cell r="P161">
            <v>42482</v>
          </cell>
        </row>
        <row r="165">
          <cell r="A165">
            <v>150</v>
          </cell>
          <cell r="D165" t="str">
            <v>Total All Primary Schools 03/04</v>
          </cell>
          <cell r="E165">
            <v>204</v>
          </cell>
          <cell r="F165">
            <v>3483</v>
          </cell>
          <cell r="G165">
            <v>0</v>
          </cell>
          <cell r="H165">
            <v>5659</v>
          </cell>
          <cell r="I165">
            <v>5659</v>
          </cell>
          <cell r="J165">
            <v>5889</v>
          </cell>
          <cell r="K165">
            <v>5692</v>
          </cell>
          <cell r="L165">
            <v>5888</v>
          </cell>
          <cell r="M165">
            <v>5957</v>
          </cell>
          <cell r="N165">
            <v>6076</v>
          </cell>
          <cell r="O165">
            <v>6159</v>
          </cell>
          <cell r="P165">
            <v>43265.5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SC2005"/>
      <sheetName val="All Schools"/>
      <sheetName val="Explanation"/>
      <sheetName val="KS2 - PupsReq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chedule - to do"/>
      <sheetName val="Dash"/>
      <sheetName val="Schools List"/>
      <sheetName val="Localities"/>
      <sheetName val="APT Data Source"/>
      <sheetName val="DataSource"/>
      <sheetName val="DSG"/>
      <sheetName val="Budget"/>
      <sheetName val="Oct21 Census (not final)"/>
      <sheetName val="Pupils"/>
      <sheetName val="IR 2022"/>
      <sheetName val="Impact"/>
      <sheetName val="New Del"/>
      <sheetName val="Add Deleg"/>
      <sheetName val="Growth New Sch"/>
      <sheetName val="NFF Rates to Use"/>
      <sheetName val="AWPU Fund"/>
      <sheetName val="AWPU"/>
      <sheetName val="NFF Rates"/>
      <sheetName val="Balancing Sheet"/>
      <sheetName val="IDACI"/>
      <sheetName val="FSM"/>
      <sheetName val="Attain"/>
      <sheetName val="EAL"/>
      <sheetName val="Mobility"/>
      <sheetName val="Split Site"/>
      <sheetName val="Floor"/>
      <sheetName val="A4 Floor"/>
      <sheetName val="MFG NFF"/>
      <sheetName val="Sparsity"/>
      <sheetName val="Min Fund"/>
      <sheetName val="MFG-Gains A4"/>
      <sheetName val="MFG"/>
      <sheetName val="Budget Share"/>
      <sheetName val="Schls Forum"/>
      <sheetName val="A4 Sheet"/>
      <sheetName val="pro-forma check"/>
      <sheetName val="Multiplier Summary"/>
      <sheetName val="£pup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</row>
        <row r="4">
          <cell r="H4" t="str">
            <v>2021-22</v>
          </cell>
          <cell r="I4" t="str">
            <v>2022-23</v>
          </cell>
        </row>
        <row r="5">
          <cell r="D5" t="str">
            <v>DfE</v>
          </cell>
          <cell r="E5" t="str">
            <v>School_Name</v>
          </cell>
          <cell r="F5" t="str">
            <v>Phase</v>
          </cell>
          <cell r="G5" t="str">
            <v xml:space="preserve">Academy Type </v>
          </cell>
          <cell r="H5" t="str">
            <v>NOR 21-22</v>
          </cell>
          <cell r="I5" t="str">
            <v>NOR 22-23</v>
          </cell>
        </row>
        <row r="6">
          <cell r="D6">
            <v>2001</v>
          </cell>
          <cell r="E6" t="str">
            <v>Abbey Lane Primary School</v>
          </cell>
          <cell r="F6" t="str">
            <v>Primary</v>
          </cell>
          <cell r="G6">
            <v>0</v>
          </cell>
          <cell r="H6">
            <v>586</v>
          </cell>
          <cell r="I6">
            <v>557</v>
          </cell>
        </row>
        <row r="7">
          <cell r="D7">
            <v>2046</v>
          </cell>
          <cell r="E7" t="str">
            <v>Abbeyfield Primary Academy</v>
          </cell>
          <cell r="F7" t="str">
            <v>Primary</v>
          </cell>
          <cell r="G7" t="str">
            <v>Recoupment Academy</v>
          </cell>
          <cell r="H7">
            <v>371</v>
          </cell>
          <cell r="I7">
            <v>354</v>
          </cell>
        </row>
        <row r="8">
          <cell r="D8">
            <v>2048</v>
          </cell>
          <cell r="E8" t="str">
            <v>Acres Hill Community Primary School</v>
          </cell>
          <cell r="F8" t="str">
            <v>Primary</v>
          </cell>
          <cell r="G8" t="str">
            <v>Recoupment Academy</v>
          </cell>
          <cell r="H8">
            <v>202</v>
          </cell>
          <cell r="I8">
            <v>194</v>
          </cell>
        </row>
        <row r="9">
          <cell r="D9">
            <v>2342</v>
          </cell>
          <cell r="E9" t="str">
            <v>Angram Bank Primary School</v>
          </cell>
          <cell r="F9" t="str">
            <v>Primary</v>
          </cell>
          <cell r="G9">
            <v>0</v>
          </cell>
          <cell r="H9">
            <v>198</v>
          </cell>
          <cell r="I9">
            <v>195</v>
          </cell>
        </row>
        <row r="10">
          <cell r="D10">
            <v>2343</v>
          </cell>
          <cell r="E10" t="str">
            <v>Anns Grove Primary School</v>
          </cell>
          <cell r="F10" t="str">
            <v>Primary</v>
          </cell>
          <cell r="G10">
            <v>0</v>
          </cell>
          <cell r="H10">
            <v>300</v>
          </cell>
          <cell r="I10">
            <v>324</v>
          </cell>
        </row>
        <row r="11">
          <cell r="D11">
            <v>3429</v>
          </cell>
          <cell r="E11" t="str">
            <v>Arbourthorne Community Primary School</v>
          </cell>
          <cell r="F11" t="str">
            <v>Primary</v>
          </cell>
          <cell r="G11">
            <v>0</v>
          </cell>
          <cell r="H11">
            <v>398</v>
          </cell>
          <cell r="I11">
            <v>403</v>
          </cell>
        </row>
        <row r="12">
          <cell r="D12">
            <v>2340</v>
          </cell>
          <cell r="E12" t="str">
            <v>Athelstan Primary School</v>
          </cell>
          <cell r="F12" t="str">
            <v>Primary</v>
          </cell>
          <cell r="G12">
            <v>0</v>
          </cell>
          <cell r="H12">
            <v>609</v>
          </cell>
          <cell r="I12">
            <v>615</v>
          </cell>
        </row>
        <row r="13">
          <cell r="D13">
            <v>2281</v>
          </cell>
          <cell r="E13" t="str">
            <v>Ballifield Primary School</v>
          </cell>
          <cell r="F13" t="str">
            <v>Primary</v>
          </cell>
          <cell r="G13">
            <v>0</v>
          </cell>
          <cell r="H13">
            <v>418</v>
          </cell>
          <cell r="I13">
            <v>415</v>
          </cell>
        </row>
        <row r="14">
          <cell r="D14">
            <v>2322</v>
          </cell>
          <cell r="E14" t="str">
            <v>Bankwood Community Primary School</v>
          </cell>
          <cell r="F14" t="str">
            <v>Primary</v>
          </cell>
          <cell r="G14">
            <v>0</v>
          </cell>
          <cell r="H14">
            <v>345</v>
          </cell>
          <cell r="I14">
            <v>363</v>
          </cell>
        </row>
        <row r="15">
          <cell r="D15">
            <v>2274</v>
          </cell>
          <cell r="E15" t="str">
            <v>Beck Primary School</v>
          </cell>
          <cell r="F15" t="str">
            <v>Primary</v>
          </cell>
          <cell r="G15" t="str">
            <v>Recoupment Academy</v>
          </cell>
          <cell r="H15">
            <v>629</v>
          </cell>
          <cell r="I15">
            <v>610</v>
          </cell>
        </row>
        <row r="16">
          <cell r="D16">
            <v>2241</v>
          </cell>
          <cell r="E16" t="str">
            <v>Beighton Nursery Infant School</v>
          </cell>
          <cell r="F16" t="str">
            <v>Primary</v>
          </cell>
          <cell r="G16">
            <v>0</v>
          </cell>
          <cell r="H16">
            <v>255</v>
          </cell>
          <cell r="I16">
            <v>249</v>
          </cell>
        </row>
        <row r="17">
          <cell r="D17">
            <v>2353</v>
          </cell>
          <cell r="E17" t="str">
            <v>Birley Primary Academy</v>
          </cell>
          <cell r="F17" t="str">
            <v>Primary</v>
          </cell>
          <cell r="G17" t="str">
            <v>Recoupment Academy</v>
          </cell>
          <cell r="H17">
            <v>538</v>
          </cell>
          <cell r="I17">
            <v>533</v>
          </cell>
        </row>
        <row r="18">
          <cell r="D18">
            <v>2323</v>
          </cell>
          <cell r="E18" t="str">
            <v>Birley Spa Primary Academy</v>
          </cell>
          <cell r="F18" t="str">
            <v>Primary</v>
          </cell>
          <cell r="G18" t="str">
            <v>Recoupment Academy</v>
          </cell>
          <cell r="H18">
            <v>359</v>
          </cell>
          <cell r="I18">
            <v>355</v>
          </cell>
        </row>
        <row r="19">
          <cell r="D19">
            <v>2328</v>
          </cell>
          <cell r="E19" t="str">
            <v>Bradfield Dungworth Primary School</v>
          </cell>
          <cell r="F19" t="str">
            <v>Primary</v>
          </cell>
          <cell r="G19" t="str">
            <v>Recoupment Academy</v>
          </cell>
          <cell r="H19">
            <v>123</v>
          </cell>
          <cell r="I19">
            <v>126</v>
          </cell>
        </row>
        <row r="20">
          <cell r="D20">
            <v>2233</v>
          </cell>
          <cell r="E20" t="str">
            <v>Bradway Primary School</v>
          </cell>
          <cell r="F20" t="str">
            <v>Primary</v>
          </cell>
          <cell r="G20">
            <v>0</v>
          </cell>
          <cell r="H20">
            <v>417</v>
          </cell>
          <cell r="I20">
            <v>413</v>
          </cell>
        </row>
        <row r="21">
          <cell r="D21">
            <v>2014</v>
          </cell>
          <cell r="E21" t="str">
            <v>Brightside Nursery and Infant School</v>
          </cell>
          <cell r="F21" t="str">
            <v>Primary</v>
          </cell>
          <cell r="G21">
            <v>0</v>
          </cell>
          <cell r="H21">
            <v>167</v>
          </cell>
          <cell r="I21">
            <v>171</v>
          </cell>
        </row>
        <row r="22">
          <cell r="D22">
            <v>2246</v>
          </cell>
          <cell r="E22" t="str">
            <v>Brook House Junior</v>
          </cell>
          <cell r="F22" t="str">
            <v>Primary</v>
          </cell>
          <cell r="G22" t="str">
            <v>Recoupment Academy</v>
          </cell>
          <cell r="H22">
            <v>339</v>
          </cell>
          <cell r="I22">
            <v>339</v>
          </cell>
        </row>
        <row r="23">
          <cell r="D23">
            <v>5204</v>
          </cell>
          <cell r="E23" t="str">
            <v>Broomhill Infant School</v>
          </cell>
          <cell r="F23" t="str">
            <v>Primary</v>
          </cell>
          <cell r="G23">
            <v>0</v>
          </cell>
          <cell r="H23">
            <v>117</v>
          </cell>
          <cell r="I23">
            <v>112</v>
          </cell>
        </row>
        <row r="24">
          <cell r="D24">
            <v>2325</v>
          </cell>
          <cell r="E24" t="str">
            <v>Brunswick Community Primary School</v>
          </cell>
          <cell r="F24" t="str">
            <v>Primary</v>
          </cell>
          <cell r="G24">
            <v>0</v>
          </cell>
          <cell r="H24">
            <v>407</v>
          </cell>
          <cell r="I24">
            <v>413</v>
          </cell>
        </row>
        <row r="25">
          <cell r="D25">
            <v>2095</v>
          </cell>
          <cell r="E25" t="str">
            <v>Byron Wood Primary Academy</v>
          </cell>
          <cell r="F25" t="str">
            <v>Primary</v>
          </cell>
          <cell r="G25" t="str">
            <v>Recoupment Academy</v>
          </cell>
          <cell r="H25">
            <v>409</v>
          </cell>
          <cell r="I25">
            <v>395</v>
          </cell>
        </row>
        <row r="26">
          <cell r="D26">
            <v>2344</v>
          </cell>
          <cell r="E26" t="str">
            <v>Carfield Primary School</v>
          </cell>
          <cell r="F26" t="str">
            <v>Primary</v>
          </cell>
          <cell r="G26">
            <v>0</v>
          </cell>
          <cell r="H26">
            <v>552</v>
          </cell>
          <cell r="I26">
            <v>550</v>
          </cell>
        </row>
        <row r="27">
          <cell r="D27">
            <v>2023</v>
          </cell>
          <cell r="E27" t="str">
            <v>Carter Knowle Junior School</v>
          </cell>
          <cell r="F27" t="str">
            <v>Primary</v>
          </cell>
          <cell r="G27">
            <v>0</v>
          </cell>
          <cell r="H27">
            <v>225</v>
          </cell>
          <cell r="I27">
            <v>223</v>
          </cell>
        </row>
        <row r="28">
          <cell r="D28">
            <v>2354</v>
          </cell>
          <cell r="E28" t="str">
            <v>Charnock Hall Primary Academy</v>
          </cell>
          <cell r="F28" t="str">
            <v>Primary</v>
          </cell>
          <cell r="G28" t="str">
            <v>Recoupment Academy</v>
          </cell>
          <cell r="H28">
            <v>388</v>
          </cell>
          <cell r="I28">
            <v>401</v>
          </cell>
        </row>
        <row r="29">
          <cell r="D29">
            <v>5200</v>
          </cell>
          <cell r="E29" t="str">
            <v>Clifford All Saints CofE Primary School</v>
          </cell>
          <cell r="F29" t="str">
            <v>Primary</v>
          </cell>
          <cell r="G29">
            <v>0</v>
          </cell>
          <cell r="H29">
            <v>168</v>
          </cell>
          <cell r="I29">
            <v>191</v>
          </cell>
        </row>
        <row r="30">
          <cell r="D30">
            <v>2312</v>
          </cell>
          <cell r="E30" t="str">
            <v>Coit Primary School</v>
          </cell>
          <cell r="F30" t="str">
            <v>Primary</v>
          </cell>
          <cell r="G30">
            <v>0</v>
          </cell>
          <cell r="H30">
            <v>202</v>
          </cell>
          <cell r="I30">
            <v>201</v>
          </cell>
        </row>
        <row r="31">
          <cell r="D31">
            <v>2026</v>
          </cell>
          <cell r="E31" t="str">
            <v>Concord Junior School</v>
          </cell>
          <cell r="F31" t="str">
            <v>Primary</v>
          </cell>
          <cell r="G31" t="str">
            <v>Recoupment Academy</v>
          </cell>
          <cell r="H31">
            <v>209</v>
          </cell>
          <cell r="I31">
            <v>190</v>
          </cell>
        </row>
        <row r="32">
          <cell r="D32">
            <v>3422</v>
          </cell>
          <cell r="E32" t="str">
            <v>Deepcar St John's Church of England Junior School</v>
          </cell>
          <cell r="F32" t="str">
            <v>Primary</v>
          </cell>
          <cell r="G32">
            <v>0</v>
          </cell>
          <cell r="H32">
            <v>157</v>
          </cell>
          <cell r="I32">
            <v>166</v>
          </cell>
        </row>
        <row r="33">
          <cell r="D33">
            <v>2283</v>
          </cell>
          <cell r="E33" t="str">
            <v>Dobcroft Infant School</v>
          </cell>
          <cell r="F33" t="str">
            <v>Primary</v>
          </cell>
          <cell r="G33">
            <v>0</v>
          </cell>
          <cell r="H33">
            <v>270</v>
          </cell>
          <cell r="I33">
            <v>270</v>
          </cell>
        </row>
        <row r="34">
          <cell r="D34">
            <v>2239</v>
          </cell>
          <cell r="E34" t="str">
            <v>Dobcroft Junior School</v>
          </cell>
          <cell r="F34" t="str">
            <v>Primary</v>
          </cell>
          <cell r="G34">
            <v>0</v>
          </cell>
          <cell r="H34">
            <v>416</v>
          </cell>
          <cell r="I34">
            <v>419</v>
          </cell>
        </row>
        <row r="35">
          <cell r="D35">
            <v>2364</v>
          </cell>
          <cell r="E35" t="str">
            <v>Dore Primary School</v>
          </cell>
          <cell r="F35" t="str">
            <v>Primary</v>
          </cell>
          <cell r="G35">
            <v>0</v>
          </cell>
          <cell r="H35">
            <v>425</v>
          </cell>
          <cell r="I35">
            <v>446</v>
          </cell>
        </row>
        <row r="36">
          <cell r="D36">
            <v>2016</v>
          </cell>
          <cell r="E36" t="str">
            <v>E-ACT Pathways Academy</v>
          </cell>
          <cell r="F36" t="str">
            <v>Primary</v>
          </cell>
          <cell r="G36" t="str">
            <v>Recoupment Academy</v>
          </cell>
          <cell r="H36">
            <v>353</v>
          </cell>
          <cell r="I36">
            <v>350</v>
          </cell>
        </row>
        <row r="37">
          <cell r="D37">
            <v>2206</v>
          </cell>
          <cell r="E37" t="str">
            <v>Ecclesall Primary School</v>
          </cell>
          <cell r="F37" t="str">
            <v>Primary</v>
          </cell>
          <cell r="G37">
            <v>0</v>
          </cell>
          <cell r="H37">
            <v>597</v>
          </cell>
          <cell r="I37">
            <v>601</v>
          </cell>
        </row>
        <row r="38">
          <cell r="D38">
            <v>2080</v>
          </cell>
          <cell r="E38" t="str">
            <v>Ecclesfield Primary School</v>
          </cell>
          <cell r="F38" t="str">
            <v>Primary</v>
          </cell>
          <cell r="G38">
            <v>0</v>
          </cell>
          <cell r="H38">
            <v>403</v>
          </cell>
          <cell r="I38">
            <v>392</v>
          </cell>
        </row>
        <row r="39">
          <cell r="D39">
            <v>2024</v>
          </cell>
          <cell r="E39" t="str">
            <v>Emmanuel Anglican/Methodist Junior School</v>
          </cell>
          <cell r="F39" t="str">
            <v>Primary</v>
          </cell>
          <cell r="G39" t="str">
            <v>Recoupment Academy</v>
          </cell>
          <cell r="H39">
            <v>209</v>
          </cell>
          <cell r="I39">
            <v>187</v>
          </cell>
        </row>
        <row r="40">
          <cell r="D40">
            <v>2028</v>
          </cell>
          <cell r="E40" t="str">
            <v>Emmaus Catholic and CofE Primary School</v>
          </cell>
          <cell r="F40" t="str">
            <v>Primary</v>
          </cell>
          <cell r="G40" t="str">
            <v>Recoupment Academy</v>
          </cell>
          <cell r="H40">
            <v>295</v>
          </cell>
          <cell r="I40">
            <v>296</v>
          </cell>
        </row>
        <row r="41">
          <cell r="D41">
            <v>2010</v>
          </cell>
          <cell r="E41" t="str">
            <v>Fox Hill Primary</v>
          </cell>
          <cell r="F41" t="str">
            <v>Primary</v>
          </cell>
          <cell r="G41" t="str">
            <v>Recoupment Academy</v>
          </cell>
          <cell r="H41">
            <v>300</v>
          </cell>
          <cell r="I41">
            <v>291</v>
          </cell>
        </row>
        <row r="42">
          <cell r="D42">
            <v>2036</v>
          </cell>
          <cell r="E42" t="str">
            <v>Gleadless Primary School</v>
          </cell>
          <cell r="F42" t="str">
            <v>Primary</v>
          </cell>
          <cell r="G42">
            <v>0</v>
          </cell>
          <cell r="H42">
            <v>398</v>
          </cell>
          <cell r="I42">
            <v>393</v>
          </cell>
        </row>
        <row r="43">
          <cell r="D43">
            <v>2305</v>
          </cell>
          <cell r="E43" t="str">
            <v>Greengate Lane Academy</v>
          </cell>
          <cell r="F43" t="str">
            <v>Primary</v>
          </cell>
          <cell r="G43" t="str">
            <v>Recoupment Academy</v>
          </cell>
          <cell r="H43">
            <v>187</v>
          </cell>
          <cell r="I43">
            <v>187</v>
          </cell>
        </row>
        <row r="44">
          <cell r="D44">
            <v>2341</v>
          </cell>
          <cell r="E44" t="str">
            <v>Greenhill Primary School</v>
          </cell>
          <cell r="F44" t="str">
            <v>Primary</v>
          </cell>
          <cell r="G44" t="str">
            <v>Recoupment Academy</v>
          </cell>
          <cell r="H44">
            <v>494</v>
          </cell>
          <cell r="I44">
            <v>466</v>
          </cell>
        </row>
        <row r="45">
          <cell r="D45">
            <v>2296</v>
          </cell>
          <cell r="E45" t="str">
            <v>Grenoside Community Primary School</v>
          </cell>
          <cell r="F45" t="str">
            <v>Primary</v>
          </cell>
          <cell r="G45">
            <v>0</v>
          </cell>
          <cell r="H45">
            <v>327</v>
          </cell>
          <cell r="I45">
            <v>314</v>
          </cell>
        </row>
        <row r="46">
          <cell r="D46">
            <v>2356</v>
          </cell>
          <cell r="E46" t="str">
            <v>Greystones Primary School</v>
          </cell>
          <cell r="F46" t="str">
            <v>Primary</v>
          </cell>
          <cell r="G46">
            <v>0</v>
          </cell>
          <cell r="H46">
            <v>590</v>
          </cell>
          <cell r="I46">
            <v>625</v>
          </cell>
        </row>
        <row r="47">
          <cell r="D47">
            <v>2279</v>
          </cell>
          <cell r="E47" t="str">
            <v>Halfway Junior School</v>
          </cell>
          <cell r="F47" t="str">
            <v>Primary</v>
          </cell>
          <cell r="G47">
            <v>0</v>
          </cell>
          <cell r="H47">
            <v>211</v>
          </cell>
          <cell r="I47">
            <v>211</v>
          </cell>
        </row>
        <row r="48">
          <cell r="D48">
            <v>2252</v>
          </cell>
          <cell r="E48" t="str">
            <v>Halfway Nursery Infant School</v>
          </cell>
          <cell r="F48" t="str">
            <v>Primary</v>
          </cell>
          <cell r="G48">
            <v>0</v>
          </cell>
          <cell r="H48">
            <v>147</v>
          </cell>
          <cell r="I48">
            <v>156</v>
          </cell>
        </row>
        <row r="49">
          <cell r="D49">
            <v>2357</v>
          </cell>
          <cell r="E49" t="str">
            <v>Hallam Primary School</v>
          </cell>
          <cell r="F49" t="str">
            <v>Primary</v>
          </cell>
          <cell r="G49" t="str">
            <v>Recoupment Academy</v>
          </cell>
          <cell r="H49">
            <v>637</v>
          </cell>
          <cell r="I49">
            <v>624</v>
          </cell>
        </row>
        <row r="50">
          <cell r="D50">
            <v>2050</v>
          </cell>
          <cell r="E50" t="str">
            <v>Hartley Brook Primary School</v>
          </cell>
          <cell r="F50" t="str">
            <v>Primary</v>
          </cell>
          <cell r="G50" t="str">
            <v>Recoupment Academy</v>
          </cell>
          <cell r="H50">
            <v>609</v>
          </cell>
          <cell r="I50">
            <v>594</v>
          </cell>
        </row>
        <row r="51">
          <cell r="D51">
            <v>2049</v>
          </cell>
          <cell r="E51" t="str">
            <v>Hatfield Academy</v>
          </cell>
          <cell r="F51" t="str">
            <v>Primary</v>
          </cell>
          <cell r="G51" t="str">
            <v>Recoupment Academy</v>
          </cell>
          <cell r="H51">
            <v>380</v>
          </cell>
          <cell r="I51">
            <v>371</v>
          </cell>
        </row>
        <row r="52">
          <cell r="D52">
            <v>2297</v>
          </cell>
          <cell r="E52" t="str">
            <v>High Green Primary School</v>
          </cell>
          <cell r="F52" t="str">
            <v>Primary</v>
          </cell>
          <cell r="G52">
            <v>0</v>
          </cell>
          <cell r="H52">
            <v>210</v>
          </cell>
          <cell r="I52">
            <v>199</v>
          </cell>
        </row>
        <row r="53">
          <cell r="D53">
            <v>2042</v>
          </cell>
          <cell r="E53" t="str">
            <v>High Hazels Junior School</v>
          </cell>
          <cell r="F53" t="str">
            <v>Primary</v>
          </cell>
          <cell r="G53" t="str">
            <v>Recoupment Academy</v>
          </cell>
          <cell r="H53">
            <v>352</v>
          </cell>
          <cell r="I53">
            <v>351</v>
          </cell>
        </row>
        <row r="54">
          <cell r="D54">
            <v>2039</v>
          </cell>
          <cell r="E54" t="str">
            <v>High Hazels Nursery Infant Academy</v>
          </cell>
          <cell r="F54" t="str">
            <v>Primary</v>
          </cell>
          <cell r="G54" t="str">
            <v>Recoupment Academy</v>
          </cell>
          <cell r="H54">
            <v>233</v>
          </cell>
          <cell r="I54">
            <v>229</v>
          </cell>
        </row>
        <row r="55">
          <cell r="D55">
            <v>2339</v>
          </cell>
          <cell r="E55" t="str">
            <v>Hillsborough Primary School</v>
          </cell>
          <cell r="F55" t="str">
            <v>Primary</v>
          </cell>
          <cell r="G55" t="str">
            <v>Recoupment Academy</v>
          </cell>
          <cell r="H55">
            <v>340</v>
          </cell>
          <cell r="I55">
            <v>347</v>
          </cell>
        </row>
        <row r="56">
          <cell r="D56">
            <v>2213</v>
          </cell>
          <cell r="E56" t="str">
            <v>Holt House Infant School</v>
          </cell>
          <cell r="F56" t="str">
            <v>Primary</v>
          </cell>
          <cell r="G56">
            <v>0</v>
          </cell>
          <cell r="H56">
            <v>166</v>
          </cell>
          <cell r="I56">
            <v>179</v>
          </cell>
        </row>
        <row r="57">
          <cell r="D57">
            <v>2337</v>
          </cell>
          <cell r="E57" t="str">
            <v>Hucklow Primary School</v>
          </cell>
          <cell r="F57" t="str">
            <v>Primary</v>
          </cell>
          <cell r="G57" t="str">
            <v>Recoupment Academy</v>
          </cell>
          <cell r="H57">
            <v>421</v>
          </cell>
          <cell r="I57">
            <v>413</v>
          </cell>
        </row>
        <row r="58">
          <cell r="D58">
            <v>2060</v>
          </cell>
          <cell r="E58" t="str">
            <v>Hunter's Bar Infant School</v>
          </cell>
          <cell r="F58" t="str">
            <v>Primary</v>
          </cell>
          <cell r="G58">
            <v>0</v>
          </cell>
          <cell r="H58">
            <v>264</v>
          </cell>
          <cell r="I58">
            <v>267</v>
          </cell>
        </row>
        <row r="59">
          <cell r="D59">
            <v>2058</v>
          </cell>
          <cell r="E59" t="str">
            <v>Hunter's Bar Junior School</v>
          </cell>
          <cell r="F59" t="str">
            <v>Primary</v>
          </cell>
          <cell r="G59">
            <v>0</v>
          </cell>
          <cell r="H59">
            <v>360</v>
          </cell>
          <cell r="I59">
            <v>362</v>
          </cell>
        </row>
        <row r="60">
          <cell r="D60">
            <v>2063</v>
          </cell>
          <cell r="E60" t="str">
            <v>Intake Primary School</v>
          </cell>
          <cell r="F60" t="str">
            <v>Primary</v>
          </cell>
          <cell r="G60">
            <v>0</v>
          </cell>
          <cell r="H60">
            <v>409</v>
          </cell>
          <cell r="I60">
            <v>409</v>
          </cell>
        </row>
        <row r="61">
          <cell r="D61">
            <v>2261</v>
          </cell>
          <cell r="E61" t="str">
            <v>Limpsfield Junior School</v>
          </cell>
          <cell r="F61" t="str">
            <v>Primary</v>
          </cell>
          <cell r="G61">
            <v>0</v>
          </cell>
          <cell r="H61">
            <v>226</v>
          </cell>
          <cell r="I61">
            <v>235</v>
          </cell>
        </row>
        <row r="62">
          <cell r="D62">
            <v>2315</v>
          </cell>
          <cell r="E62" t="str">
            <v>Lound Infant School</v>
          </cell>
          <cell r="F62" t="str">
            <v>Primary</v>
          </cell>
          <cell r="G62" t="str">
            <v>Recoupment Academy</v>
          </cell>
          <cell r="H62">
            <v>149</v>
          </cell>
          <cell r="I62">
            <v>145</v>
          </cell>
        </row>
        <row r="63">
          <cell r="D63">
            <v>2298</v>
          </cell>
          <cell r="E63" t="str">
            <v>Lound Junior School</v>
          </cell>
          <cell r="F63" t="str">
            <v>Primary</v>
          </cell>
          <cell r="G63" t="str">
            <v>Recoupment Academy</v>
          </cell>
          <cell r="H63">
            <v>211</v>
          </cell>
          <cell r="I63">
            <v>209</v>
          </cell>
        </row>
        <row r="64">
          <cell r="D64">
            <v>2029</v>
          </cell>
          <cell r="E64" t="str">
            <v>Lowedges Junior Academy</v>
          </cell>
          <cell r="F64" t="str">
            <v>Primary</v>
          </cell>
          <cell r="G64" t="str">
            <v>Recoupment Academy</v>
          </cell>
          <cell r="H64">
            <v>314</v>
          </cell>
          <cell r="I64">
            <v>302</v>
          </cell>
        </row>
        <row r="65">
          <cell r="D65">
            <v>2045</v>
          </cell>
          <cell r="E65" t="str">
            <v>Lower Meadow Primary School</v>
          </cell>
          <cell r="F65" t="str">
            <v>Primary</v>
          </cell>
          <cell r="G65" t="str">
            <v>Recoupment Academy</v>
          </cell>
          <cell r="H65">
            <v>246</v>
          </cell>
          <cell r="I65">
            <v>249</v>
          </cell>
        </row>
        <row r="66">
          <cell r="D66">
            <v>2070</v>
          </cell>
          <cell r="E66" t="str">
            <v>Lowfield Community Primary School</v>
          </cell>
          <cell r="F66" t="str">
            <v>Primary</v>
          </cell>
          <cell r="G66">
            <v>0</v>
          </cell>
          <cell r="H66">
            <v>374</v>
          </cell>
          <cell r="I66">
            <v>365</v>
          </cell>
        </row>
        <row r="67">
          <cell r="D67">
            <v>2292</v>
          </cell>
          <cell r="E67" t="str">
            <v>Loxley Primary School</v>
          </cell>
          <cell r="F67" t="str">
            <v>Primary</v>
          </cell>
          <cell r="G67" t="str">
            <v>Recoupment Academy</v>
          </cell>
          <cell r="H67">
            <v>205</v>
          </cell>
          <cell r="I67">
            <v>209</v>
          </cell>
        </row>
        <row r="68">
          <cell r="D68">
            <v>2072</v>
          </cell>
          <cell r="E68" t="str">
            <v>Lydgate Infant School</v>
          </cell>
          <cell r="F68" t="str">
            <v>Primary</v>
          </cell>
          <cell r="G68">
            <v>0</v>
          </cell>
          <cell r="H68">
            <v>355</v>
          </cell>
          <cell r="I68">
            <v>356</v>
          </cell>
        </row>
        <row r="69">
          <cell r="D69">
            <v>2071</v>
          </cell>
          <cell r="E69" t="str">
            <v>Lydgate Junior School</v>
          </cell>
          <cell r="F69" t="str">
            <v>Primary</v>
          </cell>
          <cell r="G69">
            <v>0</v>
          </cell>
          <cell r="H69">
            <v>480</v>
          </cell>
          <cell r="I69">
            <v>475</v>
          </cell>
        </row>
        <row r="70">
          <cell r="D70">
            <v>2358</v>
          </cell>
          <cell r="E70" t="str">
            <v>Malin Bridge Primary School</v>
          </cell>
          <cell r="F70" t="str">
            <v>Primary</v>
          </cell>
          <cell r="G70" t="str">
            <v>Recoupment Academy</v>
          </cell>
          <cell r="H70">
            <v>523</v>
          </cell>
          <cell r="I70">
            <v>522</v>
          </cell>
        </row>
        <row r="71">
          <cell r="D71">
            <v>2359</v>
          </cell>
          <cell r="E71" t="str">
            <v>Manor Lodge Community Primary and Nursery School</v>
          </cell>
          <cell r="F71" t="str">
            <v>Primary</v>
          </cell>
          <cell r="G71" t="str">
            <v>Recoupment Academy</v>
          </cell>
          <cell r="H71">
            <v>299</v>
          </cell>
          <cell r="I71">
            <v>319</v>
          </cell>
        </row>
        <row r="72">
          <cell r="D72">
            <v>2012</v>
          </cell>
          <cell r="E72" t="str">
            <v>Mansel Primary</v>
          </cell>
          <cell r="F72" t="str">
            <v>Primary</v>
          </cell>
          <cell r="G72" t="str">
            <v>Recoupment Academy</v>
          </cell>
          <cell r="H72">
            <v>406</v>
          </cell>
          <cell r="I72">
            <v>385</v>
          </cell>
        </row>
        <row r="73">
          <cell r="D73">
            <v>2079</v>
          </cell>
          <cell r="E73" t="str">
            <v>Marlcliffe Community Primary School</v>
          </cell>
          <cell r="F73" t="str">
            <v>Primary</v>
          </cell>
          <cell r="G73">
            <v>0</v>
          </cell>
          <cell r="H73">
            <v>495</v>
          </cell>
          <cell r="I73">
            <v>509</v>
          </cell>
        </row>
        <row r="74">
          <cell r="D74">
            <v>2081</v>
          </cell>
          <cell r="E74" t="str">
            <v>Meersbrook Bank Primary School</v>
          </cell>
          <cell r="F74" t="str">
            <v>Primary</v>
          </cell>
          <cell r="G74">
            <v>0</v>
          </cell>
          <cell r="H74">
            <v>198</v>
          </cell>
          <cell r="I74">
            <v>200</v>
          </cell>
        </row>
        <row r="75">
          <cell r="D75">
            <v>2013</v>
          </cell>
          <cell r="E75" t="str">
            <v>Meynell Community Primary School</v>
          </cell>
          <cell r="F75" t="str">
            <v>Primary</v>
          </cell>
          <cell r="G75" t="str">
            <v>Recoupment Academy</v>
          </cell>
          <cell r="H75">
            <v>368</v>
          </cell>
          <cell r="I75">
            <v>361</v>
          </cell>
        </row>
        <row r="76">
          <cell r="D76">
            <v>2346</v>
          </cell>
          <cell r="E76" t="str">
            <v>Monteney Primary School</v>
          </cell>
          <cell r="F76" t="str">
            <v>Primary</v>
          </cell>
          <cell r="G76" t="str">
            <v>Recoupment Academy</v>
          </cell>
          <cell r="H76">
            <v>416</v>
          </cell>
          <cell r="I76">
            <v>400</v>
          </cell>
        </row>
        <row r="77">
          <cell r="D77">
            <v>2257</v>
          </cell>
          <cell r="E77" t="str">
            <v>Mosborough Primary School</v>
          </cell>
          <cell r="F77" t="str">
            <v>Primary</v>
          </cell>
          <cell r="G77">
            <v>0</v>
          </cell>
          <cell r="H77">
            <v>418</v>
          </cell>
          <cell r="I77">
            <v>410</v>
          </cell>
        </row>
        <row r="78">
          <cell r="D78">
            <v>2092</v>
          </cell>
          <cell r="E78" t="str">
            <v>Mundella Primary School</v>
          </cell>
          <cell r="F78" t="str">
            <v>Primary</v>
          </cell>
          <cell r="G78">
            <v>0</v>
          </cell>
          <cell r="H78">
            <v>418</v>
          </cell>
          <cell r="I78">
            <v>420</v>
          </cell>
        </row>
        <row r="79">
          <cell r="D79">
            <v>2002</v>
          </cell>
          <cell r="E79" t="str">
            <v>Nether Edge Primary School</v>
          </cell>
          <cell r="F79" t="str">
            <v>Primary</v>
          </cell>
          <cell r="G79" t="str">
            <v>Recoupment Academy</v>
          </cell>
          <cell r="H79">
            <v>393</v>
          </cell>
          <cell r="I79">
            <v>404</v>
          </cell>
        </row>
        <row r="80">
          <cell r="D80">
            <v>2221</v>
          </cell>
          <cell r="E80" t="str">
            <v>Nether Green Infant School</v>
          </cell>
          <cell r="F80" t="str">
            <v>Primary</v>
          </cell>
          <cell r="G80">
            <v>0</v>
          </cell>
          <cell r="H80">
            <v>208</v>
          </cell>
          <cell r="I80">
            <v>211</v>
          </cell>
        </row>
        <row r="81">
          <cell r="D81">
            <v>2087</v>
          </cell>
          <cell r="E81" t="str">
            <v>Nether Green Junior School</v>
          </cell>
          <cell r="F81" t="str">
            <v>Primary</v>
          </cell>
          <cell r="G81">
            <v>0</v>
          </cell>
          <cell r="H81">
            <v>374</v>
          </cell>
          <cell r="I81">
            <v>359</v>
          </cell>
        </row>
        <row r="82">
          <cell r="D82">
            <v>2272</v>
          </cell>
          <cell r="E82" t="str">
            <v>Netherthorpe Primary School</v>
          </cell>
          <cell r="F82" t="str">
            <v>Primary</v>
          </cell>
          <cell r="G82">
            <v>0</v>
          </cell>
          <cell r="H82">
            <v>204</v>
          </cell>
          <cell r="I82">
            <v>206</v>
          </cell>
        </row>
        <row r="83">
          <cell r="D83">
            <v>2309</v>
          </cell>
          <cell r="E83" t="str">
            <v>Nook Lane Junior School</v>
          </cell>
          <cell r="F83" t="str">
            <v>Primary</v>
          </cell>
          <cell r="G83" t="str">
            <v>Recoupment Academy</v>
          </cell>
          <cell r="H83">
            <v>250</v>
          </cell>
          <cell r="I83">
            <v>252</v>
          </cell>
        </row>
        <row r="84">
          <cell r="D84">
            <v>2051</v>
          </cell>
          <cell r="E84" t="str">
            <v>Norfolk Community Primary School</v>
          </cell>
          <cell r="F84" t="str">
            <v>Primary</v>
          </cell>
          <cell r="G84" t="str">
            <v>Recoupment Academy</v>
          </cell>
          <cell r="H84">
            <v>375</v>
          </cell>
          <cell r="I84">
            <v>388</v>
          </cell>
        </row>
        <row r="85">
          <cell r="D85">
            <v>3010</v>
          </cell>
          <cell r="E85" t="str">
            <v>Norton Free Church of England Primary School</v>
          </cell>
          <cell r="F85" t="str">
            <v>Primary</v>
          </cell>
          <cell r="G85">
            <v>0</v>
          </cell>
          <cell r="H85">
            <v>207</v>
          </cell>
          <cell r="I85">
            <v>209</v>
          </cell>
        </row>
        <row r="86">
          <cell r="D86">
            <v>2018</v>
          </cell>
          <cell r="E86" t="str">
            <v>Oasis Academy Fir Vale</v>
          </cell>
          <cell r="F86" t="str">
            <v>Primary</v>
          </cell>
          <cell r="G86" t="str">
            <v>Recoupment Academy</v>
          </cell>
          <cell r="H86">
            <v>381</v>
          </cell>
          <cell r="I86">
            <v>401</v>
          </cell>
        </row>
        <row r="87">
          <cell r="D87">
            <v>2019</v>
          </cell>
          <cell r="E87" t="str">
            <v>Oasis Academy Watermead</v>
          </cell>
          <cell r="F87" t="str">
            <v>Primary</v>
          </cell>
          <cell r="G87" t="str">
            <v>Recoupment Academy</v>
          </cell>
          <cell r="H87">
            <v>350</v>
          </cell>
          <cell r="I87">
            <v>377</v>
          </cell>
        </row>
        <row r="88">
          <cell r="D88">
            <v>2313</v>
          </cell>
          <cell r="E88" t="str">
            <v>Oughtibridge Primary School</v>
          </cell>
          <cell r="F88" t="str">
            <v>Primary</v>
          </cell>
          <cell r="G88" t="str">
            <v>Recoupment Academy</v>
          </cell>
          <cell r="H88">
            <v>421</v>
          </cell>
          <cell r="I88">
            <v>416</v>
          </cell>
        </row>
        <row r="89">
          <cell r="D89">
            <v>2093</v>
          </cell>
          <cell r="E89" t="str">
            <v>Owler Brook Primary School</v>
          </cell>
          <cell r="F89" t="str">
            <v>Primary</v>
          </cell>
          <cell r="G89" t="str">
            <v>Recoupment Academy</v>
          </cell>
          <cell r="H89">
            <v>413</v>
          </cell>
          <cell r="I89">
            <v>384</v>
          </cell>
        </row>
        <row r="90">
          <cell r="D90">
            <v>3428</v>
          </cell>
          <cell r="E90" t="str">
            <v>Parson Cross Church of England Primary School</v>
          </cell>
          <cell r="F90" t="str">
            <v>Primary</v>
          </cell>
          <cell r="G90">
            <v>0</v>
          </cell>
          <cell r="H90">
            <v>203</v>
          </cell>
          <cell r="I90">
            <v>201</v>
          </cell>
        </row>
        <row r="91">
          <cell r="D91">
            <v>2332</v>
          </cell>
          <cell r="E91" t="str">
            <v>Phillimore Community Primary School</v>
          </cell>
          <cell r="F91" t="str">
            <v>Primary</v>
          </cell>
          <cell r="G91" t="str">
            <v>Recoupment Academy</v>
          </cell>
          <cell r="H91">
            <v>411</v>
          </cell>
          <cell r="I91">
            <v>413</v>
          </cell>
        </row>
        <row r="92">
          <cell r="D92">
            <v>3433</v>
          </cell>
          <cell r="E92" t="str">
            <v>Pipworth Community Primary School</v>
          </cell>
          <cell r="F92" t="str">
            <v>Primary</v>
          </cell>
          <cell r="G92">
            <v>0</v>
          </cell>
          <cell r="H92">
            <v>388</v>
          </cell>
          <cell r="I92">
            <v>410</v>
          </cell>
        </row>
        <row r="93">
          <cell r="D93">
            <v>3427</v>
          </cell>
          <cell r="E93" t="str">
            <v>Porter Croft Church of England Primary Academy</v>
          </cell>
          <cell r="F93" t="str">
            <v>Primary</v>
          </cell>
          <cell r="G93" t="str">
            <v>Recoupment Academy</v>
          </cell>
          <cell r="H93">
            <v>213</v>
          </cell>
          <cell r="I93">
            <v>213</v>
          </cell>
        </row>
        <row r="94">
          <cell r="D94">
            <v>2347</v>
          </cell>
          <cell r="E94" t="str">
            <v>Prince Edward Primary School</v>
          </cell>
          <cell r="F94" t="str">
            <v>Primary</v>
          </cell>
          <cell r="G94">
            <v>0</v>
          </cell>
          <cell r="H94">
            <v>404</v>
          </cell>
          <cell r="I94">
            <v>411</v>
          </cell>
        </row>
        <row r="95">
          <cell r="D95">
            <v>2366</v>
          </cell>
          <cell r="E95" t="str">
            <v>Pye Bank CofE Primary School</v>
          </cell>
          <cell r="F95" t="str">
            <v>Primary</v>
          </cell>
          <cell r="G95" t="str">
            <v>Recoupment Academy</v>
          </cell>
          <cell r="H95">
            <v>405</v>
          </cell>
          <cell r="I95">
            <v>393</v>
          </cell>
        </row>
        <row r="96">
          <cell r="D96">
            <v>2363</v>
          </cell>
          <cell r="E96" t="str">
            <v>Rainbow Forge Primary Academy</v>
          </cell>
          <cell r="F96" t="str">
            <v>Primary</v>
          </cell>
          <cell r="G96" t="str">
            <v>Recoupment Academy</v>
          </cell>
          <cell r="H96">
            <v>311</v>
          </cell>
          <cell r="I96">
            <v>288</v>
          </cell>
        </row>
        <row r="97">
          <cell r="D97">
            <v>2334</v>
          </cell>
          <cell r="E97" t="str">
            <v>Reignhead Primary School</v>
          </cell>
          <cell r="F97" t="str">
            <v>Primary</v>
          </cell>
          <cell r="G97">
            <v>0</v>
          </cell>
          <cell r="H97">
            <v>270</v>
          </cell>
          <cell r="I97">
            <v>264</v>
          </cell>
        </row>
        <row r="98">
          <cell r="D98">
            <v>2338</v>
          </cell>
          <cell r="E98" t="str">
            <v>Rivelin Primary School</v>
          </cell>
          <cell r="F98" t="str">
            <v>Primary</v>
          </cell>
          <cell r="G98">
            <v>0</v>
          </cell>
          <cell r="H98">
            <v>342</v>
          </cell>
          <cell r="I98">
            <v>318</v>
          </cell>
        </row>
        <row r="99">
          <cell r="D99">
            <v>2306</v>
          </cell>
          <cell r="E99" t="str">
            <v>Royd Nursery and Infant School</v>
          </cell>
          <cell r="F99" t="str">
            <v>Primary</v>
          </cell>
          <cell r="G99">
            <v>0</v>
          </cell>
          <cell r="H99">
            <v>136</v>
          </cell>
          <cell r="I99">
            <v>130</v>
          </cell>
        </row>
        <row r="100">
          <cell r="D100">
            <v>3401</v>
          </cell>
          <cell r="E100" t="str">
            <v>Sacred Heart School, A Catholic Voluntary Academy</v>
          </cell>
          <cell r="F100" t="str">
            <v>Primary</v>
          </cell>
          <cell r="G100" t="str">
            <v>Recoupment Academy</v>
          </cell>
          <cell r="H100">
            <v>207</v>
          </cell>
          <cell r="I100">
            <v>206</v>
          </cell>
        </row>
        <row r="101">
          <cell r="D101">
            <v>2369</v>
          </cell>
          <cell r="E101" t="str">
            <v>Sharrow Nursery, Infant and Junior School</v>
          </cell>
          <cell r="F101" t="str">
            <v>Primary</v>
          </cell>
          <cell r="G101">
            <v>0</v>
          </cell>
          <cell r="H101">
            <v>413</v>
          </cell>
          <cell r="I101">
            <v>415</v>
          </cell>
        </row>
        <row r="102">
          <cell r="D102">
            <v>2349</v>
          </cell>
          <cell r="E102" t="str">
            <v>Shooter's Grove Primary School</v>
          </cell>
          <cell r="F102" t="str">
            <v>Primary</v>
          </cell>
          <cell r="G102">
            <v>0</v>
          </cell>
          <cell r="H102">
            <v>365</v>
          </cell>
          <cell r="I102">
            <v>354</v>
          </cell>
        </row>
        <row r="103">
          <cell r="D103">
            <v>2360</v>
          </cell>
          <cell r="E103" t="str">
            <v>Shortbrook Primary School</v>
          </cell>
          <cell r="F103" t="str">
            <v>Primary</v>
          </cell>
          <cell r="G103">
            <v>0</v>
          </cell>
          <cell r="H103">
            <v>91</v>
          </cell>
          <cell r="I103">
            <v>88</v>
          </cell>
        </row>
        <row r="104">
          <cell r="D104">
            <v>2009</v>
          </cell>
          <cell r="E104" t="str">
            <v>Southey Green Primary School and Nurseries</v>
          </cell>
          <cell r="F104" t="str">
            <v>Primary</v>
          </cell>
          <cell r="G104" t="str">
            <v>Recoupment Academy</v>
          </cell>
          <cell r="H104">
            <v>609</v>
          </cell>
          <cell r="I104">
            <v>605</v>
          </cell>
        </row>
        <row r="105">
          <cell r="D105">
            <v>2329</v>
          </cell>
          <cell r="E105" t="str">
            <v>Springfield Primary School</v>
          </cell>
          <cell r="F105" t="str">
            <v>Primary</v>
          </cell>
          <cell r="G105">
            <v>0</v>
          </cell>
          <cell r="H105">
            <v>206</v>
          </cell>
          <cell r="I105">
            <v>209</v>
          </cell>
        </row>
        <row r="106">
          <cell r="D106">
            <v>5202</v>
          </cell>
          <cell r="E106" t="str">
            <v>St Ann's Catholic Primary School, A Voluntary Academy</v>
          </cell>
          <cell r="F106" t="str">
            <v>Primary</v>
          </cell>
          <cell r="G106" t="str">
            <v>Recoupment Academy</v>
          </cell>
          <cell r="H106">
            <v>100</v>
          </cell>
          <cell r="I106">
            <v>92</v>
          </cell>
        </row>
        <row r="107">
          <cell r="D107">
            <v>3402</v>
          </cell>
          <cell r="E107" t="str">
            <v>St Catherine's Catholic Primary School (Hallam)</v>
          </cell>
          <cell r="F107" t="str">
            <v>Primary</v>
          </cell>
          <cell r="G107" t="str">
            <v>Recoupment Academy</v>
          </cell>
          <cell r="H107">
            <v>424</v>
          </cell>
          <cell r="I107">
            <v>422</v>
          </cell>
        </row>
        <row r="108">
          <cell r="D108">
            <v>2017</v>
          </cell>
          <cell r="E108" t="str">
            <v>St John Fisher Primary, A Catholic Voluntary Academy</v>
          </cell>
          <cell r="F108" t="str">
            <v>Primary</v>
          </cell>
          <cell r="G108" t="str">
            <v>Recoupment Academy</v>
          </cell>
          <cell r="H108">
            <v>215</v>
          </cell>
          <cell r="I108">
            <v>210</v>
          </cell>
        </row>
        <row r="109">
          <cell r="D109">
            <v>5203</v>
          </cell>
          <cell r="E109" t="str">
            <v>St Joseph's Primary School</v>
          </cell>
          <cell r="F109" t="str">
            <v>Primary</v>
          </cell>
          <cell r="G109" t="str">
            <v>Recoupment Academy</v>
          </cell>
          <cell r="H109">
            <v>199</v>
          </cell>
          <cell r="I109">
            <v>204</v>
          </cell>
        </row>
        <row r="110">
          <cell r="D110">
            <v>3406</v>
          </cell>
          <cell r="E110" t="str">
            <v>St Marie's School, A Catholic Voluntary Academy</v>
          </cell>
          <cell r="F110" t="str">
            <v>Primary</v>
          </cell>
          <cell r="G110" t="str">
            <v>Recoupment Academy</v>
          </cell>
          <cell r="H110">
            <v>245</v>
          </cell>
          <cell r="I110">
            <v>217</v>
          </cell>
        </row>
        <row r="111">
          <cell r="D111">
            <v>2020</v>
          </cell>
          <cell r="E111" t="str">
            <v>St Mary's Church of England Primary School</v>
          </cell>
          <cell r="F111" t="str">
            <v>Primary</v>
          </cell>
          <cell r="G111" t="str">
            <v>Recoupment Academy</v>
          </cell>
          <cell r="H111">
            <v>191</v>
          </cell>
          <cell r="I111">
            <v>197</v>
          </cell>
        </row>
        <row r="112">
          <cell r="D112">
            <v>3423</v>
          </cell>
          <cell r="E112" t="str">
            <v>St Mary's Primary School, A Catholic Voluntary Academy</v>
          </cell>
          <cell r="F112" t="str">
            <v>Primary</v>
          </cell>
          <cell r="G112" t="str">
            <v>Recoupment Academy</v>
          </cell>
          <cell r="H112">
            <v>188</v>
          </cell>
          <cell r="I112">
            <v>188</v>
          </cell>
        </row>
        <row r="113">
          <cell r="D113">
            <v>5207</v>
          </cell>
          <cell r="E113" t="str">
            <v>St Patrick's Catholic Voluntary Academy</v>
          </cell>
          <cell r="F113" t="str">
            <v>Primary</v>
          </cell>
          <cell r="G113" t="str">
            <v>Recoupment Academy</v>
          </cell>
          <cell r="H113">
            <v>280</v>
          </cell>
          <cell r="I113">
            <v>279</v>
          </cell>
        </row>
        <row r="114">
          <cell r="D114">
            <v>5208</v>
          </cell>
          <cell r="E114" t="str">
            <v>St Theresa's Catholic Primary School</v>
          </cell>
          <cell r="F114" t="str">
            <v>Primary</v>
          </cell>
          <cell r="G114">
            <v>0</v>
          </cell>
          <cell r="H114">
            <v>207</v>
          </cell>
          <cell r="I114">
            <v>207</v>
          </cell>
        </row>
        <row r="115">
          <cell r="D115">
            <v>3424</v>
          </cell>
          <cell r="E115" t="str">
            <v>St Thomas More Catholic Primary, A Voluntary Academy</v>
          </cell>
          <cell r="F115" t="str">
            <v>Primary</v>
          </cell>
          <cell r="G115" t="str">
            <v>Recoupment Academy</v>
          </cell>
          <cell r="H115">
            <v>211</v>
          </cell>
          <cell r="I115">
            <v>209</v>
          </cell>
        </row>
        <row r="116">
          <cell r="D116">
            <v>3414</v>
          </cell>
          <cell r="E116" t="str">
            <v>St Thomas of Canterbury School, a Catholic Voluntary Academy</v>
          </cell>
          <cell r="F116" t="str">
            <v>Primary</v>
          </cell>
          <cell r="G116" t="str">
            <v>Recoupment Academy</v>
          </cell>
          <cell r="H116">
            <v>207</v>
          </cell>
          <cell r="I116">
            <v>211</v>
          </cell>
        </row>
        <row r="117">
          <cell r="D117">
            <v>3412</v>
          </cell>
          <cell r="E117" t="str">
            <v>St Wilfrid's Catholic Primary School</v>
          </cell>
          <cell r="F117" t="str">
            <v>Primary</v>
          </cell>
          <cell r="G117" t="str">
            <v>Recoupment Academy</v>
          </cell>
          <cell r="H117">
            <v>312</v>
          </cell>
          <cell r="I117">
            <v>307</v>
          </cell>
        </row>
        <row r="118">
          <cell r="D118">
            <v>2294</v>
          </cell>
          <cell r="E118" t="str">
            <v>Stannington Infant School</v>
          </cell>
          <cell r="F118" t="str">
            <v>Primary</v>
          </cell>
          <cell r="G118" t="str">
            <v>Recoupment Academy</v>
          </cell>
          <cell r="H118">
            <v>181</v>
          </cell>
          <cell r="I118">
            <v>181</v>
          </cell>
        </row>
        <row r="119">
          <cell r="D119">
            <v>2303</v>
          </cell>
          <cell r="E119" t="str">
            <v>Stocksbridge Junior School</v>
          </cell>
          <cell r="F119" t="str">
            <v>Primary</v>
          </cell>
          <cell r="G119">
            <v>0</v>
          </cell>
          <cell r="H119">
            <v>333</v>
          </cell>
          <cell r="I119">
            <v>308</v>
          </cell>
        </row>
        <row r="120">
          <cell r="D120">
            <v>2302</v>
          </cell>
          <cell r="E120" t="str">
            <v>Stocksbridge Nursery Infant School</v>
          </cell>
          <cell r="F120" t="str">
            <v>Primary</v>
          </cell>
          <cell r="G120">
            <v>0</v>
          </cell>
          <cell r="H120">
            <v>188</v>
          </cell>
          <cell r="I120">
            <v>194</v>
          </cell>
        </row>
        <row r="121">
          <cell r="D121">
            <v>2350</v>
          </cell>
          <cell r="E121" t="str">
            <v>Stradbroke Primary School</v>
          </cell>
          <cell r="F121" t="str">
            <v>Primary</v>
          </cell>
          <cell r="G121">
            <v>0</v>
          </cell>
          <cell r="H121">
            <v>417</v>
          </cell>
          <cell r="I121">
            <v>412</v>
          </cell>
        </row>
        <row r="122">
          <cell r="D122">
            <v>2230</v>
          </cell>
          <cell r="E122" t="str">
            <v>Tinsley Meadows Primary School</v>
          </cell>
          <cell r="F122" t="str">
            <v>Primary</v>
          </cell>
          <cell r="G122" t="str">
            <v>Recoupment Academy</v>
          </cell>
          <cell r="H122">
            <v>536</v>
          </cell>
          <cell r="I122">
            <v>543</v>
          </cell>
        </row>
        <row r="123">
          <cell r="D123">
            <v>5206</v>
          </cell>
          <cell r="E123" t="str">
            <v>Totley All Saints Church of England Voluntary Aided Primary School</v>
          </cell>
          <cell r="F123" t="str">
            <v>Primary</v>
          </cell>
          <cell r="G123" t="str">
            <v>Recoupment Academy</v>
          </cell>
          <cell r="H123">
            <v>213</v>
          </cell>
          <cell r="I123">
            <v>214</v>
          </cell>
        </row>
        <row r="124">
          <cell r="D124">
            <v>2203</v>
          </cell>
          <cell r="E124" t="str">
            <v>Totley Primary School</v>
          </cell>
          <cell r="F124" t="str">
            <v>Primary</v>
          </cell>
          <cell r="G124" t="str">
            <v>Recoupment Academy</v>
          </cell>
          <cell r="H124">
            <v>366</v>
          </cell>
          <cell r="I124">
            <v>399</v>
          </cell>
        </row>
        <row r="125">
          <cell r="D125">
            <v>2351</v>
          </cell>
          <cell r="E125" t="str">
            <v>Walkley Primary School</v>
          </cell>
          <cell r="F125" t="str">
            <v>Primary</v>
          </cell>
          <cell r="G125">
            <v>0</v>
          </cell>
          <cell r="H125">
            <v>343</v>
          </cell>
          <cell r="I125">
            <v>345</v>
          </cell>
        </row>
        <row r="126">
          <cell r="D126">
            <v>3432</v>
          </cell>
          <cell r="E126" t="str">
            <v>Watercliffe Meadow Community Primary School</v>
          </cell>
          <cell r="F126" t="str">
            <v>Primary</v>
          </cell>
          <cell r="G126">
            <v>0</v>
          </cell>
          <cell r="H126">
            <v>414</v>
          </cell>
          <cell r="I126">
            <v>407</v>
          </cell>
        </row>
        <row r="127">
          <cell r="D127">
            <v>2319</v>
          </cell>
          <cell r="E127" t="str">
            <v>Waterthorpe Infant School</v>
          </cell>
          <cell r="F127" t="str">
            <v>Primary</v>
          </cell>
          <cell r="G127">
            <v>0</v>
          </cell>
          <cell r="H127">
            <v>128</v>
          </cell>
          <cell r="I127">
            <v>124</v>
          </cell>
        </row>
        <row r="128">
          <cell r="D128">
            <v>2352</v>
          </cell>
          <cell r="E128" t="str">
            <v>Westways Primary School</v>
          </cell>
          <cell r="F128" t="str">
            <v>Primary</v>
          </cell>
          <cell r="G128">
            <v>0</v>
          </cell>
          <cell r="H128">
            <v>570</v>
          </cell>
          <cell r="I128">
            <v>572</v>
          </cell>
        </row>
        <row r="129">
          <cell r="D129">
            <v>2311</v>
          </cell>
          <cell r="E129" t="str">
            <v>Wharncliffe Side Primary School</v>
          </cell>
          <cell r="F129" t="str">
            <v>Primary</v>
          </cell>
          <cell r="G129" t="str">
            <v>Recoupment Academy</v>
          </cell>
          <cell r="H129">
            <v>134</v>
          </cell>
          <cell r="I129">
            <v>141</v>
          </cell>
        </row>
        <row r="130">
          <cell r="D130">
            <v>2040</v>
          </cell>
          <cell r="E130" t="str">
            <v>Whiteways Primary School</v>
          </cell>
          <cell r="F130" t="str">
            <v>Primary</v>
          </cell>
          <cell r="G130" t="str">
            <v>Recoupment Academy</v>
          </cell>
          <cell r="H130">
            <v>414</v>
          </cell>
          <cell r="I130">
            <v>408</v>
          </cell>
        </row>
        <row r="131">
          <cell r="D131">
            <v>2027</v>
          </cell>
          <cell r="E131" t="str">
            <v>Wincobank Nursery and Infant School</v>
          </cell>
          <cell r="F131" t="str">
            <v>Primary</v>
          </cell>
          <cell r="G131" t="str">
            <v>Recoupment Academy</v>
          </cell>
          <cell r="H131">
            <v>131</v>
          </cell>
          <cell r="I131">
            <v>122</v>
          </cell>
        </row>
        <row r="132">
          <cell r="D132">
            <v>2361</v>
          </cell>
          <cell r="E132" t="str">
            <v>Windmill Hill Primary School</v>
          </cell>
          <cell r="F132" t="str">
            <v>Primary</v>
          </cell>
          <cell r="G132" t="str">
            <v>Recoupment Academy</v>
          </cell>
          <cell r="H132">
            <v>351</v>
          </cell>
          <cell r="I132">
            <v>317</v>
          </cell>
        </row>
        <row r="133">
          <cell r="D133">
            <v>2043</v>
          </cell>
          <cell r="E133" t="str">
            <v>Wisewood Community Primary School</v>
          </cell>
          <cell r="F133" t="str">
            <v>Primary</v>
          </cell>
          <cell r="G133" t="str">
            <v>Recoupment Academy</v>
          </cell>
          <cell r="H133">
            <v>162</v>
          </cell>
          <cell r="I133">
            <v>153</v>
          </cell>
        </row>
        <row r="134">
          <cell r="D134">
            <v>2139</v>
          </cell>
          <cell r="E134" t="str">
            <v>Woodhouse West Primary School</v>
          </cell>
          <cell r="F134" t="str">
            <v>Primary</v>
          </cell>
          <cell r="G134" t="str">
            <v>Recoupment Academy</v>
          </cell>
          <cell r="H134">
            <v>343</v>
          </cell>
          <cell r="I134">
            <v>343</v>
          </cell>
        </row>
        <row r="135">
          <cell r="D135">
            <v>2034</v>
          </cell>
          <cell r="E135" t="str">
            <v>Woodlands Primary (Valley Park) Community School</v>
          </cell>
          <cell r="F135" t="str">
            <v>Primary</v>
          </cell>
          <cell r="G135" t="str">
            <v>Recoupment Academy</v>
          </cell>
          <cell r="H135">
            <v>390</v>
          </cell>
          <cell r="I135">
            <v>354</v>
          </cell>
        </row>
        <row r="136">
          <cell r="D136">
            <v>2324</v>
          </cell>
          <cell r="E136" t="str">
            <v>Woodseats Primary School</v>
          </cell>
          <cell r="F136" t="str">
            <v>Primary</v>
          </cell>
          <cell r="G136" t="str">
            <v>Recoupment Academy</v>
          </cell>
          <cell r="H136">
            <v>363</v>
          </cell>
          <cell r="I136">
            <v>375</v>
          </cell>
        </row>
        <row r="137">
          <cell r="D137">
            <v>2327</v>
          </cell>
          <cell r="E137" t="str">
            <v>Woodthorpe Primary School</v>
          </cell>
          <cell r="F137" t="str">
            <v>Primary</v>
          </cell>
          <cell r="G137" t="str">
            <v>Recoupment Academy</v>
          </cell>
          <cell r="H137">
            <v>403</v>
          </cell>
          <cell r="I137">
            <v>396</v>
          </cell>
        </row>
        <row r="138">
          <cell r="D138">
            <v>2321</v>
          </cell>
          <cell r="E138" t="str">
            <v>Wybourn Community Primary &amp; Nursery School</v>
          </cell>
          <cell r="F138" t="str">
            <v>Primary</v>
          </cell>
          <cell r="G138" t="str">
            <v>Recoupment Academy</v>
          </cell>
          <cell r="H138">
            <v>414</v>
          </cell>
          <cell r="I138">
            <v>413</v>
          </cell>
        </row>
        <row r="140">
          <cell r="E140" t="str">
            <v>Total Primary</v>
          </cell>
          <cell r="H140">
            <v>43315</v>
          </cell>
          <cell r="I140">
            <v>43067</v>
          </cell>
        </row>
        <row r="142">
          <cell r="E142" t="str">
            <v>Secondary</v>
          </cell>
        </row>
        <row r="144">
          <cell r="D144">
            <v>5401</v>
          </cell>
          <cell r="E144" t="str">
            <v>All Saints' Catholic High School</v>
          </cell>
          <cell r="F144" t="str">
            <v>Secondary</v>
          </cell>
          <cell r="G144" t="str">
            <v>Recoupment Academy</v>
          </cell>
          <cell r="H144">
            <v>1018</v>
          </cell>
          <cell r="I144">
            <v>1023</v>
          </cell>
        </row>
        <row r="145">
          <cell r="D145">
            <v>4017</v>
          </cell>
          <cell r="E145" t="str">
            <v>Bradfield School</v>
          </cell>
          <cell r="F145" t="str">
            <v>Secondary</v>
          </cell>
          <cell r="G145" t="str">
            <v>Recoupment Academy</v>
          </cell>
          <cell r="H145">
            <v>1067</v>
          </cell>
          <cell r="I145">
            <v>1081</v>
          </cell>
        </row>
        <row r="146">
          <cell r="D146">
            <v>4000</v>
          </cell>
          <cell r="E146" t="str">
            <v>Chaucer School</v>
          </cell>
          <cell r="F146" t="str">
            <v>Secondary</v>
          </cell>
          <cell r="G146" t="str">
            <v>Recoupment Academy</v>
          </cell>
          <cell r="H146">
            <v>868</v>
          </cell>
          <cell r="I146">
            <v>820</v>
          </cell>
        </row>
        <row r="147">
          <cell r="D147">
            <v>4012</v>
          </cell>
          <cell r="E147" t="str">
            <v>Ecclesfield School</v>
          </cell>
          <cell r="F147" t="str">
            <v>Secondary</v>
          </cell>
          <cell r="G147" t="str">
            <v>Recoupment Academy</v>
          </cell>
          <cell r="H147">
            <v>1700</v>
          </cell>
          <cell r="I147">
            <v>1676</v>
          </cell>
        </row>
        <row r="148">
          <cell r="D148">
            <v>4280</v>
          </cell>
          <cell r="E148" t="str">
            <v>Fir Vale School</v>
          </cell>
          <cell r="F148" t="str">
            <v>Secondary</v>
          </cell>
          <cell r="G148" t="str">
            <v>Recoupment Academy</v>
          </cell>
          <cell r="H148">
            <v>977</v>
          </cell>
          <cell r="I148">
            <v>986</v>
          </cell>
        </row>
        <row r="149">
          <cell r="D149">
            <v>4003</v>
          </cell>
          <cell r="E149" t="str">
            <v>Firth Park Academy</v>
          </cell>
          <cell r="F149" t="str">
            <v>Secondary</v>
          </cell>
          <cell r="G149" t="str">
            <v>Recoupment Academy</v>
          </cell>
          <cell r="H149">
            <v>1151</v>
          </cell>
          <cell r="I149">
            <v>1142</v>
          </cell>
        </row>
        <row r="150">
          <cell r="D150">
            <v>4007</v>
          </cell>
          <cell r="E150" t="str">
            <v>Forge Valley School</v>
          </cell>
          <cell r="F150" t="str">
            <v>Secondary</v>
          </cell>
          <cell r="G150" t="str">
            <v>Recoupment Academy</v>
          </cell>
          <cell r="H150">
            <v>1173</v>
          </cell>
          <cell r="I150">
            <v>1210</v>
          </cell>
        </row>
        <row r="151">
          <cell r="D151">
            <v>4278</v>
          </cell>
          <cell r="E151" t="str">
            <v>Handsworth Grange Community Sports College</v>
          </cell>
          <cell r="F151" t="str">
            <v>Secondary</v>
          </cell>
          <cell r="G151" t="str">
            <v>Recoupment Academy</v>
          </cell>
          <cell r="H151">
            <v>1033</v>
          </cell>
          <cell r="I151">
            <v>1015</v>
          </cell>
        </row>
        <row r="152">
          <cell r="D152">
            <v>4257</v>
          </cell>
          <cell r="E152" t="str">
            <v>High Storrs School</v>
          </cell>
          <cell r="F152" t="str">
            <v>Secondary</v>
          </cell>
          <cell r="G152" t="str">
            <v>Recoupment Academy</v>
          </cell>
          <cell r="H152">
            <v>1208</v>
          </cell>
          <cell r="I152">
            <v>1206</v>
          </cell>
        </row>
        <row r="153">
          <cell r="D153">
            <v>4230</v>
          </cell>
          <cell r="E153" t="str">
            <v>King Ecgbert School</v>
          </cell>
          <cell r="F153" t="str">
            <v>Secondary</v>
          </cell>
          <cell r="G153" t="str">
            <v>Recoupment Academy</v>
          </cell>
          <cell r="H153">
            <v>1025</v>
          </cell>
          <cell r="I153">
            <v>1034</v>
          </cell>
        </row>
        <row r="154">
          <cell r="D154">
            <v>4259</v>
          </cell>
          <cell r="E154" t="str">
            <v>King Edward VII School</v>
          </cell>
          <cell r="F154" t="str">
            <v>Secondary</v>
          </cell>
          <cell r="G154">
            <v>0</v>
          </cell>
          <cell r="H154">
            <v>1118</v>
          </cell>
          <cell r="I154">
            <v>1135</v>
          </cell>
        </row>
        <row r="155">
          <cell r="D155">
            <v>4279</v>
          </cell>
          <cell r="E155" t="str">
            <v>Meadowhead School Academy Trust</v>
          </cell>
          <cell r="F155" t="str">
            <v>Secondary</v>
          </cell>
          <cell r="G155" t="str">
            <v>Recoupment Academy</v>
          </cell>
          <cell r="H155">
            <v>1592</v>
          </cell>
          <cell r="I155">
            <v>1623</v>
          </cell>
        </row>
        <row r="156">
          <cell r="D156">
            <v>4015</v>
          </cell>
          <cell r="E156" t="str">
            <v>Mercia School</v>
          </cell>
          <cell r="F156" t="str">
            <v>Secondary</v>
          </cell>
          <cell r="G156" t="str">
            <v>Recoupment Academy</v>
          </cell>
          <cell r="H156">
            <v>539</v>
          </cell>
          <cell r="I156">
            <v>716</v>
          </cell>
        </row>
        <row r="157">
          <cell r="D157">
            <v>4008</v>
          </cell>
          <cell r="E157" t="str">
            <v>Newfield Secondary School</v>
          </cell>
          <cell r="F157" t="str">
            <v>Secondary</v>
          </cell>
          <cell r="G157" t="str">
            <v>Recoupment Academy</v>
          </cell>
          <cell r="H157">
            <v>1042</v>
          </cell>
          <cell r="I157">
            <v>1032</v>
          </cell>
        </row>
        <row r="158">
          <cell r="D158">
            <v>5400</v>
          </cell>
          <cell r="E158" t="str">
            <v>Notre Dame High School</v>
          </cell>
          <cell r="F158" t="str">
            <v>Secondary</v>
          </cell>
          <cell r="G158" t="str">
            <v>Recoupment Academy</v>
          </cell>
          <cell r="H158">
            <v>1065</v>
          </cell>
          <cell r="I158">
            <v>1066</v>
          </cell>
        </row>
        <row r="159">
          <cell r="D159">
            <v>4006</v>
          </cell>
          <cell r="E159" t="str">
            <v>Outwood Academy City</v>
          </cell>
          <cell r="F159" t="str">
            <v>Secondary</v>
          </cell>
          <cell r="G159" t="str">
            <v>Recoupment Academy</v>
          </cell>
          <cell r="H159">
            <v>1136</v>
          </cell>
          <cell r="I159">
            <v>1128</v>
          </cell>
        </row>
        <row r="160">
          <cell r="D160">
            <v>6907</v>
          </cell>
          <cell r="E160" t="str">
            <v>Parkwood E-Act Academy</v>
          </cell>
          <cell r="F160" t="str">
            <v>Secondary</v>
          </cell>
          <cell r="G160" t="str">
            <v>Recoupment Academy</v>
          </cell>
          <cell r="H160">
            <v>815</v>
          </cell>
          <cell r="I160">
            <v>806</v>
          </cell>
        </row>
        <row r="161">
          <cell r="D161">
            <v>6905</v>
          </cell>
          <cell r="E161" t="str">
            <v>Sheffield Park Academy</v>
          </cell>
          <cell r="F161" t="str">
            <v>Secondary</v>
          </cell>
          <cell r="G161" t="str">
            <v>Recoupment Academy</v>
          </cell>
          <cell r="H161">
            <v>1019</v>
          </cell>
          <cell r="I161">
            <v>1010</v>
          </cell>
        </row>
        <row r="162">
          <cell r="D162">
            <v>6906</v>
          </cell>
          <cell r="E162" t="str">
            <v>Sheffield Springs Academy</v>
          </cell>
          <cell r="F162" t="str">
            <v>Secondary</v>
          </cell>
          <cell r="G162" t="str">
            <v>Recoupment Academy</v>
          </cell>
          <cell r="H162">
            <v>865</v>
          </cell>
          <cell r="I162">
            <v>939</v>
          </cell>
        </row>
        <row r="163">
          <cell r="D163">
            <v>4229</v>
          </cell>
          <cell r="E163" t="str">
            <v>Silverdale School</v>
          </cell>
          <cell r="F163" t="str">
            <v>Secondary</v>
          </cell>
          <cell r="G163" t="str">
            <v>Recoupment Academy</v>
          </cell>
          <cell r="H163">
            <v>1076</v>
          </cell>
          <cell r="I163">
            <v>1015</v>
          </cell>
        </row>
        <row r="164">
          <cell r="D164">
            <v>4271</v>
          </cell>
          <cell r="E164" t="str">
            <v>Stocksbridge High School</v>
          </cell>
          <cell r="F164" t="str">
            <v>Secondary</v>
          </cell>
          <cell r="G164" t="str">
            <v>Recoupment Academy</v>
          </cell>
          <cell r="H164">
            <v>800</v>
          </cell>
          <cell r="I164">
            <v>798</v>
          </cell>
        </row>
        <row r="165">
          <cell r="D165">
            <v>4234</v>
          </cell>
          <cell r="E165" t="str">
            <v>Tapton School</v>
          </cell>
          <cell r="F165" t="str">
            <v>Secondary</v>
          </cell>
          <cell r="G165" t="str">
            <v>Recoupment Academy</v>
          </cell>
          <cell r="H165">
            <v>1336</v>
          </cell>
          <cell r="I165">
            <v>1354</v>
          </cell>
        </row>
        <row r="166">
          <cell r="D166">
            <v>4276</v>
          </cell>
          <cell r="E166" t="str">
            <v>The Birley Academy</v>
          </cell>
          <cell r="F166" t="str">
            <v>Secondary</v>
          </cell>
          <cell r="G166" t="str">
            <v>Recoupment Academy</v>
          </cell>
          <cell r="H166">
            <v>1079</v>
          </cell>
          <cell r="I166">
            <v>1074</v>
          </cell>
        </row>
        <row r="167">
          <cell r="D167">
            <v>4004</v>
          </cell>
          <cell r="E167" t="str">
            <v>UTC Sheffield City Centre</v>
          </cell>
          <cell r="F167" t="str">
            <v>Secondary</v>
          </cell>
          <cell r="G167" t="str">
            <v>Recoupment Academy</v>
          </cell>
          <cell r="H167">
            <v>298</v>
          </cell>
          <cell r="I167">
            <v>313</v>
          </cell>
        </row>
        <row r="168">
          <cell r="D168">
            <v>4010</v>
          </cell>
          <cell r="E168" t="str">
            <v>UTC Sheffield Olympic Legacy Park</v>
          </cell>
          <cell r="F168" t="str">
            <v>Secondary</v>
          </cell>
          <cell r="G168" t="str">
            <v>Recoupment Academy</v>
          </cell>
          <cell r="H168">
            <v>297</v>
          </cell>
          <cell r="I168">
            <v>302</v>
          </cell>
        </row>
        <row r="169">
          <cell r="D169">
            <v>4013</v>
          </cell>
          <cell r="E169" t="str">
            <v>Westfield School</v>
          </cell>
          <cell r="F169" t="str">
            <v>Secondary</v>
          </cell>
          <cell r="G169" t="str">
            <v>Recoupment Academy</v>
          </cell>
          <cell r="H169">
            <v>1142</v>
          </cell>
          <cell r="I169">
            <v>1191</v>
          </cell>
        </row>
        <row r="170">
          <cell r="D170">
            <v>4016</v>
          </cell>
          <cell r="E170" t="str">
            <v>Yewlands Academy</v>
          </cell>
          <cell r="F170" t="str">
            <v>Secondary</v>
          </cell>
          <cell r="G170" t="str">
            <v>Recoupment Academy</v>
          </cell>
          <cell r="H170">
            <v>868</v>
          </cell>
          <cell r="I170">
            <v>876</v>
          </cell>
        </row>
        <row r="172">
          <cell r="E172" t="str">
            <v>Total Secondary</v>
          </cell>
          <cell r="H172">
            <v>27307</v>
          </cell>
          <cell r="I172">
            <v>27571</v>
          </cell>
        </row>
        <row r="174">
          <cell r="E174" t="str">
            <v>Middle Deemed Secondary</v>
          </cell>
        </row>
        <row r="176">
          <cell r="D176">
            <v>4014</v>
          </cell>
          <cell r="E176" t="str">
            <v>Astrea Academy Sheffield</v>
          </cell>
          <cell r="H176">
            <v>680.5</v>
          </cell>
          <cell r="I176">
            <v>891.5</v>
          </cell>
        </row>
        <row r="177">
          <cell r="D177">
            <v>4225</v>
          </cell>
          <cell r="E177" t="str">
            <v>Hinde House 3-16 School</v>
          </cell>
          <cell r="H177">
            <v>1274</v>
          </cell>
          <cell r="I177">
            <v>1282</v>
          </cell>
        </row>
        <row r="178">
          <cell r="D178">
            <v>4005</v>
          </cell>
          <cell r="E178" t="str">
            <v>Oasis Academy Don Valley</v>
          </cell>
          <cell r="H178">
            <v>859.41666666666663</v>
          </cell>
          <cell r="I178">
            <v>997.75</v>
          </cell>
        </row>
        <row r="180">
          <cell r="E180" t="str">
            <v>Total Middle Deemed Secondary</v>
          </cell>
          <cell r="H180">
            <v>2813.9166666666665</v>
          </cell>
          <cell r="I180">
            <v>3171.25</v>
          </cell>
        </row>
        <row r="182">
          <cell r="E182" t="str">
            <v>Total All Schools</v>
          </cell>
          <cell r="H182">
            <v>73435.916666666672</v>
          </cell>
          <cell r="I182">
            <v>73809.25</v>
          </cell>
        </row>
        <row r="183">
          <cell r="I183">
            <v>373.33333333332848</v>
          </cell>
        </row>
        <row r="185">
          <cell r="D185">
            <v>4014</v>
          </cell>
          <cell r="E185" t="str">
            <v>Astrea 3-16 Academy - Woodside Pye Bank</v>
          </cell>
          <cell r="F185" t="str">
            <v>Primary</v>
          </cell>
          <cell r="G185" t="str">
            <v>Recoupment Academy</v>
          </cell>
          <cell r="H185">
            <v>142</v>
          </cell>
          <cell r="I185">
            <v>196</v>
          </cell>
        </row>
        <row r="186">
          <cell r="D186">
            <v>4014</v>
          </cell>
          <cell r="E186" t="str">
            <v>Astrea 3-16 Academy - Woodside Pye Bank</v>
          </cell>
          <cell r="F186" t="str">
            <v>Secondary</v>
          </cell>
          <cell r="G186" t="str">
            <v>Recoupment Academy</v>
          </cell>
          <cell r="H186">
            <v>538.5</v>
          </cell>
          <cell r="I186">
            <v>695.5</v>
          </cell>
        </row>
        <row r="187">
          <cell r="H187">
            <v>680.5</v>
          </cell>
          <cell r="I187">
            <v>891.5</v>
          </cell>
        </row>
        <row r="189">
          <cell r="D189">
            <v>4225</v>
          </cell>
          <cell r="E189" t="str">
            <v>Hinde House (Brigantia) School - Pri Phase</v>
          </cell>
          <cell r="F189" t="str">
            <v>Primary</v>
          </cell>
          <cell r="G189" t="str">
            <v>Recoupment Academy</v>
          </cell>
          <cell r="H189">
            <v>424</v>
          </cell>
          <cell r="I189">
            <v>427</v>
          </cell>
        </row>
        <row r="190">
          <cell r="D190">
            <v>4225</v>
          </cell>
          <cell r="E190" t="str">
            <v>Hinde House (Brigantia) School - Sec Phase</v>
          </cell>
          <cell r="F190" t="str">
            <v>Secondary</v>
          </cell>
          <cell r="G190" t="str">
            <v>Recoupment Academy</v>
          </cell>
          <cell r="H190">
            <v>850</v>
          </cell>
          <cell r="I190">
            <v>855</v>
          </cell>
        </row>
        <row r="191">
          <cell r="H191">
            <v>1274</v>
          </cell>
          <cell r="I191">
            <v>1282</v>
          </cell>
        </row>
        <row r="193">
          <cell r="D193">
            <v>4005</v>
          </cell>
          <cell r="E193" t="str">
            <v>Oasis Academy Don Valley</v>
          </cell>
          <cell r="F193" t="str">
            <v>Primary</v>
          </cell>
          <cell r="G193" t="str">
            <v>Recoupment Academy</v>
          </cell>
          <cell r="H193">
            <v>402.91666666666663</v>
          </cell>
          <cell r="I193">
            <v>418.25</v>
          </cell>
        </row>
        <row r="194">
          <cell r="D194">
            <v>4005</v>
          </cell>
          <cell r="E194" t="str">
            <v>Oasis Academy Don Valley</v>
          </cell>
          <cell r="F194" t="str">
            <v>Secondary</v>
          </cell>
          <cell r="G194" t="str">
            <v>Recoupment Academy</v>
          </cell>
          <cell r="H194">
            <v>456.5</v>
          </cell>
          <cell r="I194">
            <v>579.5</v>
          </cell>
        </row>
        <row r="195">
          <cell r="H195">
            <v>859.41666666666663</v>
          </cell>
          <cell r="I195">
            <v>997.75</v>
          </cell>
        </row>
        <row r="197">
          <cell r="E197" t="str">
            <v>Row Labels</v>
          </cell>
          <cell r="F197" t="str">
            <v>Sum of NOR 22-23</v>
          </cell>
        </row>
        <row r="198">
          <cell r="E198">
            <v>0</v>
          </cell>
          <cell r="F198">
            <v>21263</v>
          </cell>
          <cell r="I198" t="str">
            <v>Funded Pupils FTE</v>
          </cell>
        </row>
        <row r="199">
          <cell r="E199" t="str">
            <v>Primary</v>
          </cell>
          <cell r="F199">
            <v>20128</v>
          </cell>
          <cell r="H199" t="str">
            <v>NOR APT</v>
          </cell>
        </row>
        <row r="200">
          <cell r="E200" t="str">
            <v>Secondary</v>
          </cell>
          <cell r="F200">
            <v>1135</v>
          </cell>
        </row>
        <row r="201">
          <cell r="E201" t="str">
            <v>Recoupment Academy</v>
          </cell>
          <cell r="F201">
            <v>52546.25</v>
          </cell>
        </row>
        <row r="202">
          <cell r="E202" t="str">
            <v>Primary</v>
          </cell>
          <cell r="F202">
            <v>23980.25</v>
          </cell>
          <cell r="H202" t="str">
            <v>Plus Oasis FYE</v>
          </cell>
        </row>
        <row r="203">
          <cell r="E203" t="str">
            <v>Secondary</v>
          </cell>
          <cell r="F203">
            <v>28566</v>
          </cell>
        </row>
        <row r="204">
          <cell r="E204" t="str">
            <v>Grand Total</v>
          </cell>
          <cell r="F204">
            <v>73809.25</v>
          </cell>
          <cell r="I204">
            <v>0</v>
          </cell>
        </row>
        <row r="205">
          <cell r="I205">
            <v>73809.25</v>
          </cell>
        </row>
        <row r="206">
          <cell r="F206">
            <v>73809.25</v>
          </cell>
        </row>
        <row r="207">
          <cell r="F207">
            <v>0</v>
          </cell>
        </row>
        <row r="209">
          <cell r="E209" t="str">
            <v>Primary</v>
          </cell>
          <cell r="F209">
            <v>44108.25</v>
          </cell>
        </row>
        <row r="210">
          <cell r="E210" t="str">
            <v>Secondary</v>
          </cell>
          <cell r="F210">
            <v>29701</v>
          </cell>
        </row>
        <row r="211">
          <cell r="E211" t="str">
            <v>Total</v>
          </cell>
          <cell r="F211">
            <v>73809.25</v>
          </cell>
        </row>
      </sheetData>
      <sheetData sheetId="10"/>
      <sheetData sheetId="11"/>
      <sheetData sheetId="12"/>
      <sheetData sheetId="13"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</row>
        <row r="5">
          <cell r="G5">
            <v>102.29936486904286</v>
          </cell>
          <cell r="H5">
            <v>32.179364869042885</v>
          </cell>
        </row>
        <row r="6">
          <cell r="C6" t="str">
            <v>DfE</v>
          </cell>
          <cell r="D6" t="str">
            <v>School_Name</v>
          </cell>
          <cell r="E6" t="str">
            <v xml:space="preserve">Academy Type </v>
          </cell>
          <cell r="F6" t="str">
            <v>Pupil Number Oct 21</v>
          </cell>
          <cell r="G6" t="str">
            <v>Additional Delegation £</v>
          </cell>
          <cell r="H6" t="str">
            <v>De-delegated £</v>
          </cell>
        </row>
        <row r="7">
          <cell r="F7">
            <v>3</v>
          </cell>
          <cell r="G7">
            <v>4</v>
          </cell>
          <cell r="H7">
            <v>5</v>
          </cell>
        </row>
        <row r="8">
          <cell r="C8">
            <v>2001</v>
          </cell>
          <cell r="D8" t="str">
            <v>Abbey Lane Primary School</v>
          </cell>
          <cell r="E8">
            <v>0</v>
          </cell>
          <cell r="F8">
            <v>557</v>
          </cell>
          <cell r="G8">
            <v>56980.746232056874</v>
          </cell>
          <cell r="H8">
            <v>17923.906232056888</v>
          </cell>
        </row>
        <row r="9">
          <cell r="C9">
            <v>2046</v>
          </cell>
          <cell r="D9" t="str">
            <v>Abbeyfield Primary Academy</v>
          </cell>
          <cell r="E9" t="str">
            <v>Recoupment Academy</v>
          </cell>
          <cell r="F9">
            <v>354</v>
          </cell>
          <cell r="G9">
            <v>36213.975163641175</v>
          </cell>
          <cell r="H9">
            <v>11391.495163641181</v>
          </cell>
        </row>
        <row r="10">
          <cell r="C10">
            <v>2048</v>
          </cell>
          <cell r="D10" t="str">
            <v>Acres Hill Community Primary School</v>
          </cell>
          <cell r="E10" t="str">
            <v>Recoupment Academy</v>
          </cell>
          <cell r="F10">
            <v>194</v>
          </cell>
          <cell r="G10">
            <v>19846.076784594316</v>
          </cell>
          <cell r="H10">
            <v>6242.7967845943194</v>
          </cell>
        </row>
        <row r="11">
          <cell r="C11">
            <v>2342</v>
          </cell>
          <cell r="D11" t="str">
            <v>Angram Bank Primary School</v>
          </cell>
          <cell r="E11">
            <v>0</v>
          </cell>
          <cell r="F11">
            <v>195</v>
          </cell>
          <cell r="G11">
            <v>19948.376149463358</v>
          </cell>
          <cell r="H11">
            <v>6274.9761494633631</v>
          </cell>
        </row>
        <row r="12">
          <cell r="C12">
            <v>2343</v>
          </cell>
          <cell r="D12" t="str">
            <v>Anns Grove Primary School</v>
          </cell>
          <cell r="E12">
            <v>0</v>
          </cell>
          <cell r="F12">
            <v>324</v>
          </cell>
          <cell r="G12">
            <v>33144.994217569889</v>
          </cell>
          <cell r="H12">
            <v>10426.114217569895</v>
          </cell>
        </row>
        <row r="13">
          <cell r="C13">
            <v>3429</v>
          </cell>
          <cell r="D13" t="str">
            <v>Arbourthorne Community Primary School</v>
          </cell>
          <cell r="E13">
            <v>0</v>
          </cell>
          <cell r="F13">
            <v>403</v>
          </cell>
          <cell r="G13">
            <v>41226.644042224274</v>
          </cell>
          <cell r="H13">
            <v>12968.284042224283</v>
          </cell>
        </row>
        <row r="14">
          <cell r="C14">
            <v>2340</v>
          </cell>
          <cell r="D14" t="str">
            <v>Athelstan Primary School</v>
          </cell>
          <cell r="E14">
            <v>0</v>
          </cell>
          <cell r="F14">
            <v>615</v>
          </cell>
          <cell r="G14">
            <v>62914.10939446136</v>
          </cell>
          <cell r="H14">
            <v>19790.309394461376</v>
          </cell>
        </row>
        <row r="15">
          <cell r="C15">
            <v>2281</v>
          </cell>
          <cell r="D15" t="str">
            <v>Ballifield Primary School</v>
          </cell>
          <cell r="E15">
            <v>0</v>
          </cell>
          <cell r="F15">
            <v>415</v>
          </cell>
          <cell r="G15">
            <v>42454.236420652785</v>
          </cell>
          <cell r="H15">
            <v>13354.436420652797</v>
          </cell>
        </row>
        <row r="16">
          <cell r="C16">
            <v>2322</v>
          </cell>
          <cell r="D16" t="str">
            <v>Bankwood Community Primary School</v>
          </cell>
          <cell r="E16">
            <v>0</v>
          </cell>
          <cell r="F16">
            <v>363</v>
          </cell>
          <cell r="G16">
            <v>37134.669447462562</v>
          </cell>
          <cell r="H16">
            <v>11681.109447462568</v>
          </cell>
        </row>
        <row r="17">
          <cell r="C17">
            <v>2274</v>
          </cell>
          <cell r="D17" t="str">
            <v>Beck Primary School</v>
          </cell>
          <cell r="E17" t="str">
            <v>Recoupment Academy</v>
          </cell>
          <cell r="F17">
            <v>610</v>
          </cell>
          <cell r="G17">
            <v>62402.612570116144</v>
          </cell>
          <cell r="H17">
            <v>19629.412570116161</v>
          </cell>
        </row>
        <row r="18">
          <cell r="C18">
            <v>2241</v>
          </cell>
          <cell r="D18" t="str">
            <v>Beighton Nursery Infant School</v>
          </cell>
          <cell r="E18">
            <v>0</v>
          </cell>
          <cell r="F18">
            <v>249</v>
          </cell>
          <cell r="G18">
            <v>25472.541852391674</v>
          </cell>
          <cell r="H18">
            <v>8012.6618523916786</v>
          </cell>
        </row>
        <row r="19">
          <cell r="C19">
            <v>2353</v>
          </cell>
          <cell r="D19" t="str">
            <v>Birley Primary Academy</v>
          </cell>
          <cell r="E19" t="str">
            <v>Recoupment Academy</v>
          </cell>
          <cell r="F19">
            <v>533</v>
          </cell>
          <cell r="G19">
            <v>54525.561475199844</v>
          </cell>
          <cell r="H19">
            <v>17151.601475199859</v>
          </cell>
        </row>
        <row r="20">
          <cell r="C20">
            <v>2323</v>
          </cell>
          <cell r="D20" t="str">
            <v>Birley Spa Primary Academy</v>
          </cell>
          <cell r="E20" t="str">
            <v>Recoupment Academy</v>
          </cell>
          <cell r="F20">
            <v>355</v>
          </cell>
          <cell r="G20">
            <v>36316.274528510214</v>
          </cell>
          <cell r="H20">
            <v>11423.674528510224</v>
          </cell>
        </row>
        <row r="21">
          <cell r="C21">
            <v>2328</v>
          </cell>
          <cell r="D21" t="str">
            <v>Bradfield Dungworth Primary School</v>
          </cell>
          <cell r="E21" t="str">
            <v>Recoupment Academy</v>
          </cell>
          <cell r="F21">
            <v>126</v>
          </cell>
          <cell r="G21">
            <v>12889.719973499401</v>
          </cell>
          <cell r="H21">
            <v>4054.5999734994034</v>
          </cell>
        </row>
        <row r="22">
          <cell r="C22">
            <v>2233</v>
          </cell>
          <cell r="D22" t="str">
            <v>Bradway Primary School</v>
          </cell>
          <cell r="E22">
            <v>0</v>
          </cell>
          <cell r="F22">
            <v>413</v>
          </cell>
          <cell r="G22">
            <v>42249.6376909147</v>
          </cell>
          <cell r="H22">
            <v>13290.077690914712</v>
          </cell>
        </row>
        <row r="23">
          <cell r="C23">
            <v>2014</v>
          </cell>
          <cell r="D23" t="str">
            <v>Brightside Nursery and Infant School</v>
          </cell>
          <cell r="E23">
            <v>0</v>
          </cell>
          <cell r="F23">
            <v>171</v>
          </cell>
          <cell r="G23">
            <v>17493.191392606328</v>
          </cell>
          <cell r="H23">
            <v>5502.671392606333</v>
          </cell>
        </row>
        <row r="24">
          <cell r="C24">
            <v>2246</v>
          </cell>
          <cell r="D24" t="str">
            <v>Brook House Junior</v>
          </cell>
          <cell r="E24" t="str">
            <v>Recoupment Academy</v>
          </cell>
          <cell r="F24">
            <v>339</v>
          </cell>
          <cell r="G24">
            <v>34679.484690605532</v>
          </cell>
          <cell r="H24">
            <v>10908.804690605539</v>
          </cell>
        </row>
        <row r="25">
          <cell r="C25">
            <v>5204</v>
          </cell>
          <cell r="D25" t="str">
            <v>Broomhill Infant School</v>
          </cell>
          <cell r="E25">
            <v>0</v>
          </cell>
          <cell r="F25">
            <v>112</v>
          </cell>
          <cell r="G25">
            <v>11457.528865332801</v>
          </cell>
          <cell r="H25">
            <v>3604.0888653328029</v>
          </cell>
        </row>
        <row r="26">
          <cell r="C26">
            <v>2325</v>
          </cell>
          <cell r="D26" t="str">
            <v>Brunswick Community Primary School</v>
          </cell>
          <cell r="E26">
            <v>0</v>
          </cell>
          <cell r="F26">
            <v>413</v>
          </cell>
          <cell r="G26">
            <v>42249.6376909147</v>
          </cell>
          <cell r="H26">
            <v>13290.077690914712</v>
          </cell>
        </row>
        <row r="27">
          <cell r="C27">
            <v>2095</v>
          </cell>
          <cell r="D27" t="str">
            <v>Byron Wood Primary Academy</v>
          </cell>
          <cell r="E27" t="str">
            <v>Recoupment Academy</v>
          </cell>
          <cell r="F27">
            <v>395</v>
          </cell>
          <cell r="G27">
            <v>40408.249123271933</v>
          </cell>
          <cell r="H27">
            <v>12710.849123271939</v>
          </cell>
        </row>
        <row r="28">
          <cell r="C28">
            <v>2344</v>
          </cell>
          <cell r="D28" t="str">
            <v>Carfield Primary School</v>
          </cell>
          <cell r="E28">
            <v>0</v>
          </cell>
          <cell r="F28">
            <v>550</v>
          </cell>
          <cell r="G28">
            <v>56264.650677973572</v>
          </cell>
          <cell r="H28">
            <v>17698.650677973586</v>
          </cell>
        </row>
        <row r="29">
          <cell r="C29">
            <v>2023</v>
          </cell>
          <cell r="D29" t="str">
            <v>Carter Knowle Junior School</v>
          </cell>
          <cell r="E29">
            <v>0</v>
          </cell>
          <cell r="F29">
            <v>223</v>
          </cell>
          <cell r="G29">
            <v>22812.758365796559</v>
          </cell>
          <cell r="H29">
            <v>7175.9983657965631</v>
          </cell>
        </row>
        <row r="30">
          <cell r="C30">
            <v>2354</v>
          </cell>
          <cell r="D30" t="str">
            <v>Charnock Hall Primary Academy</v>
          </cell>
          <cell r="E30" t="str">
            <v>Recoupment Academy</v>
          </cell>
          <cell r="F30">
            <v>401</v>
          </cell>
          <cell r="G30">
            <v>41022.045312486189</v>
          </cell>
          <cell r="H30">
            <v>12903.925312486197</v>
          </cell>
        </row>
        <row r="31">
          <cell r="C31">
            <v>5200</v>
          </cell>
          <cell r="D31" t="str">
            <v>Clifford All Saints CofE Primary School</v>
          </cell>
          <cell r="E31">
            <v>0</v>
          </cell>
          <cell r="F31">
            <v>191</v>
          </cell>
          <cell r="G31">
            <v>19539.178689987188</v>
          </cell>
          <cell r="H31">
            <v>6146.2586899871912</v>
          </cell>
        </row>
        <row r="32">
          <cell r="C32">
            <v>2312</v>
          </cell>
          <cell r="D32" t="str">
            <v>Coit Primary School</v>
          </cell>
          <cell r="E32">
            <v>0</v>
          </cell>
          <cell r="F32">
            <v>201</v>
          </cell>
          <cell r="G32">
            <v>20562.172338677614</v>
          </cell>
          <cell r="H32">
            <v>6468.0523386776204</v>
          </cell>
        </row>
        <row r="33">
          <cell r="C33">
            <v>2026</v>
          </cell>
          <cell r="D33" t="str">
            <v>Concord Junior School</v>
          </cell>
          <cell r="E33" t="str">
            <v>Recoupment Academy</v>
          </cell>
          <cell r="F33">
            <v>190</v>
          </cell>
          <cell r="G33">
            <v>19436.879325118145</v>
          </cell>
          <cell r="H33">
            <v>6114.0793251181485</v>
          </cell>
        </row>
        <row r="34">
          <cell r="C34">
            <v>3422</v>
          </cell>
          <cell r="D34" t="str">
            <v>Deepcar St John's Church of England Junior School</v>
          </cell>
          <cell r="E34">
            <v>0</v>
          </cell>
          <cell r="F34">
            <v>166</v>
          </cell>
          <cell r="G34">
            <v>16981.694568261115</v>
          </cell>
          <cell r="H34">
            <v>5341.7745682611194</v>
          </cell>
        </row>
        <row r="35">
          <cell r="C35">
            <v>2283</v>
          </cell>
          <cell r="D35" t="str">
            <v>Dobcroft Infant School</v>
          </cell>
          <cell r="E35">
            <v>0</v>
          </cell>
          <cell r="F35">
            <v>270</v>
          </cell>
          <cell r="G35">
            <v>27620.828514641573</v>
          </cell>
          <cell r="H35">
            <v>8688.4285146415787</v>
          </cell>
        </row>
        <row r="36">
          <cell r="C36">
            <v>2239</v>
          </cell>
          <cell r="D36" t="str">
            <v>Dobcroft Junior School</v>
          </cell>
          <cell r="E36">
            <v>0</v>
          </cell>
          <cell r="F36">
            <v>419</v>
          </cell>
          <cell r="G36">
            <v>42863.433880128956</v>
          </cell>
          <cell r="H36">
            <v>13483.15388012897</v>
          </cell>
        </row>
        <row r="37">
          <cell r="C37">
            <v>2364</v>
          </cell>
          <cell r="D37" t="str">
            <v>Dore Primary School</v>
          </cell>
          <cell r="E37">
            <v>0</v>
          </cell>
          <cell r="F37">
            <v>446</v>
          </cell>
          <cell r="G37">
            <v>45625.516731593118</v>
          </cell>
          <cell r="H37">
            <v>14351.996731593126</v>
          </cell>
        </row>
        <row r="38">
          <cell r="C38">
            <v>2016</v>
          </cell>
          <cell r="D38" t="str">
            <v>E-ACT Pathways Academy</v>
          </cell>
          <cell r="E38" t="str">
            <v>Recoupment Academy</v>
          </cell>
          <cell r="F38">
            <v>350</v>
          </cell>
          <cell r="G38">
            <v>35804.777704165004</v>
          </cell>
          <cell r="H38">
            <v>11262.77770416501</v>
          </cell>
        </row>
        <row r="39">
          <cell r="C39">
            <v>2206</v>
          </cell>
          <cell r="D39" t="str">
            <v>Ecclesall Primary School</v>
          </cell>
          <cell r="E39">
            <v>0</v>
          </cell>
          <cell r="F39">
            <v>601</v>
          </cell>
          <cell r="G39">
            <v>61481.918286294756</v>
          </cell>
          <cell r="H39">
            <v>19339.798286294776</v>
          </cell>
        </row>
        <row r="40">
          <cell r="C40">
            <v>2080</v>
          </cell>
          <cell r="D40" t="str">
            <v>Ecclesfield Primary School</v>
          </cell>
          <cell r="E40">
            <v>0</v>
          </cell>
          <cell r="F40">
            <v>392</v>
          </cell>
          <cell r="G40">
            <v>40101.351028664802</v>
          </cell>
          <cell r="H40">
            <v>12614.311028664812</v>
          </cell>
        </row>
        <row r="41">
          <cell r="C41">
            <v>2024</v>
          </cell>
          <cell r="D41" t="str">
            <v>Emmanuel Anglican/Methodist Junior School</v>
          </cell>
          <cell r="E41" t="str">
            <v>Recoupment Academy</v>
          </cell>
          <cell r="F41">
            <v>187</v>
          </cell>
          <cell r="G41">
            <v>19129.981230511014</v>
          </cell>
          <cell r="H41">
            <v>6017.5412305110194</v>
          </cell>
        </row>
        <row r="42">
          <cell r="C42">
            <v>2028</v>
          </cell>
          <cell r="D42" t="str">
            <v>Emmaus Catholic and CofE Primary School</v>
          </cell>
          <cell r="E42" t="str">
            <v>Recoupment Academy</v>
          </cell>
          <cell r="F42">
            <v>296</v>
          </cell>
          <cell r="G42">
            <v>30280.612001236688</v>
          </cell>
          <cell r="H42">
            <v>9525.0920012366932</v>
          </cell>
        </row>
        <row r="43">
          <cell r="C43">
            <v>2010</v>
          </cell>
          <cell r="D43" t="str">
            <v>Fox Hill Primary</v>
          </cell>
          <cell r="E43" t="str">
            <v>Recoupment Academy</v>
          </cell>
          <cell r="F43">
            <v>291</v>
          </cell>
          <cell r="G43">
            <v>29769.115176891471</v>
          </cell>
          <cell r="H43">
            <v>9364.1951768914805</v>
          </cell>
        </row>
        <row r="44">
          <cell r="C44">
            <v>2036</v>
          </cell>
          <cell r="D44" t="str">
            <v>Gleadless Primary School</v>
          </cell>
          <cell r="E44">
            <v>0</v>
          </cell>
          <cell r="F44">
            <v>393</v>
          </cell>
          <cell r="G44">
            <v>40203.650393533848</v>
          </cell>
          <cell r="H44">
            <v>12646.490393533853</v>
          </cell>
        </row>
        <row r="45">
          <cell r="C45">
            <v>2305</v>
          </cell>
          <cell r="D45" t="str">
            <v>Greengate Lane Academy</v>
          </cell>
          <cell r="E45" t="str">
            <v>Recoupment Academy</v>
          </cell>
          <cell r="F45">
            <v>187</v>
          </cell>
          <cell r="G45">
            <v>19129.981230511014</v>
          </cell>
          <cell r="H45">
            <v>6017.5412305110194</v>
          </cell>
        </row>
        <row r="46">
          <cell r="C46">
            <v>2341</v>
          </cell>
          <cell r="D46" t="str">
            <v>Greenhill Primary School</v>
          </cell>
          <cell r="E46" t="str">
            <v>Recoupment Academy</v>
          </cell>
          <cell r="F46">
            <v>466</v>
          </cell>
          <cell r="G46">
            <v>47671.50402897397</v>
          </cell>
          <cell r="H46">
            <v>14995.584028973984</v>
          </cell>
        </row>
        <row r="47">
          <cell r="C47">
            <v>2296</v>
          </cell>
          <cell r="D47" t="str">
            <v>Grenoside Community Primary School</v>
          </cell>
          <cell r="E47">
            <v>0</v>
          </cell>
          <cell r="F47">
            <v>314</v>
          </cell>
          <cell r="G47">
            <v>32122.000568879459</v>
          </cell>
          <cell r="H47">
            <v>10104.320568879466</v>
          </cell>
        </row>
        <row r="48">
          <cell r="C48">
            <v>2356</v>
          </cell>
          <cell r="D48" t="str">
            <v>Greystones Primary School</v>
          </cell>
          <cell r="E48">
            <v>0</v>
          </cell>
          <cell r="F48">
            <v>625</v>
          </cell>
          <cell r="G48">
            <v>63937.103043151787</v>
          </cell>
          <cell r="H48">
            <v>20112.103043151805</v>
          </cell>
        </row>
        <row r="49">
          <cell r="C49">
            <v>2279</v>
          </cell>
          <cell r="D49" t="str">
            <v>Halfway Junior School</v>
          </cell>
          <cell r="E49">
            <v>0</v>
          </cell>
          <cell r="F49">
            <v>211</v>
          </cell>
          <cell r="G49">
            <v>21585.165987368044</v>
          </cell>
          <cell r="H49">
            <v>6789.8459873680486</v>
          </cell>
        </row>
        <row r="50">
          <cell r="C50">
            <v>2252</v>
          </cell>
          <cell r="D50" t="str">
            <v>Halfway Nursery Infant School</v>
          </cell>
          <cell r="E50">
            <v>0</v>
          </cell>
          <cell r="F50">
            <v>156</v>
          </cell>
          <cell r="G50">
            <v>15958.700919570687</v>
          </cell>
          <cell r="H50">
            <v>5019.9809195706903</v>
          </cell>
        </row>
        <row r="51">
          <cell r="C51">
            <v>2357</v>
          </cell>
          <cell r="D51" t="str">
            <v>Hallam Primary School</v>
          </cell>
          <cell r="E51" t="str">
            <v>Recoupment Academy</v>
          </cell>
          <cell r="F51">
            <v>624</v>
          </cell>
          <cell r="G51">
            <v>63834.803678282748</v>
          </cell>
          <cell r="H51">
            <v>20079.923678282761</v>
          </cell>
        </row>
        <row r="52">
          <cell r="C52">
            <v>2050</v>
          </cell>
          <cell r="D52" t="str">
            <v>Hartley Brook Primary School</v>
          </cell>
          <cell r="E52" t="str">
            <v>Recoupment Academy</v>
          </cell>
          <cell r="F52">
            <v>594</v>
          </cell>
          <cell r="G52">
            <v>60765.822732211462</v>
          </cell>
          <cell r="H52">
            <v>19114.542732211474</v>
          </cell>
        </row>
        <row r="53">
          <cell r="C53">
            <v>2049</v>
          </cell>
          <cell r="D53" t="str">
            <v>Hatfield Academy</v>
          </cell>
          <cell r="E53" t="str">
            <v>Recoupment Academy</v>
          </cell>
          <cell r="F53">
            <v>371</v>
          </cell>
          <cell r="G53">
            <v>37953.064366414903</v>
          </cell>
          <cell r="H53">
            <v>11938.54436641491</v>
          </cell>
        </row>
        <row r="54">
          <cell r="C54">
            <v>2297</v>
          </cell>
          <cell r="D54" t="str">
            <v>High Green Primary School</v>
          </cell>
          <cell r="E54">
            <v>0</v>
          </cell>
          <cell r="F54">
            <v>199</v>
          </cell>
          <cell r="G54">
            <v>20357.573608939529</v>
          </cell>
          <cell r="H54">
            <v>6403.693608939534</v>
          </cell>
        </row>
        <row r="55">
          <cell r="C55">
            <v>2042</v>
          </cell>
          <cell r="D55" t="str">
            <v>High Hazels Junior School</v>
          </cell>
          <cell r="E55" t="str">
            <v>Recoupment Academy</v>
          </cell>
          <cell r="F55">
            <v>351</v>
          </cell>
          <cell r="G55">
            <v>35907.077069034043</v>
          </cell>
          <cell r="H55">
            <v>11294.957069034053</v>
          </cell>
        </row>
        <row r="56">
          <cell r="C56">
            <v>2039</v>
          </cell>
          <cell r="D56" t="str">
            <v>High Hazels Nursery Infant Academy</v>
          </cell>
          <cell r="E56" t="str">
            <v>Recoupment Academy</v>
          </cell>
          <cell r="F56">
            <v>229</v>
          </cell>
          <cell r="G56">
            <v>23426.554555010815</v>
          </cell>
          <cell r="H56">
            <v>7369.0745550108204</v>
          </cell>
        </row>
        <row r="57">
          <cell r="C57">
            <v>2339</v>
          </cell>
          <cell r="D57" t="str">
            <v>Hillsborough Primary School</v>
          </cell>
          <cell r="E57" t="str">
            <v>Recoupment Academy</v>
          </cell>
          <cell r="F57">
            <v>347</v>
          </cell>
          <cell r="G57">
            <v>35497.879609557873</v>
          </cell>
          <cell r="H57">
            <v>11166.239609557881</v>
          </cell>
        </row>
        <row r="58">
          <cell r="C58">
            <v>2213</v>
          </cell>
          <cell r="D58" t="str">
            <v>Holt House Infant School</v>
          </cell>
          <cell r="E58">
            <v>0</v>
          </cell>
          <cell r="F58">
            <v>179</v>
          </cell>
          <cell r="G58">
            <v>18311.586311558673</v>
          </cell>
          <cell r="H58">
            <v>5760.1063115586767</v>
          </cell>
        </row>
        <row r="59">
          <cell r="C59">
            <v>2337</v>
          </cell>
          <cell r="D59" t="str">
            <v>Hucklow Primary School</v>
          </cell>
          <cell r="E59" t="str">
            <v>Recoupment Academy</v>
          </cell>
          <cell r="F59">
            <v>413</v>
          </cell>
          <cell r="G59">
            <v>42249.6376909147</v>
          </cell>
          <cell r="H59">
            <v>13290.077690914712</v>
          </cell>
        </row>
        <row r="60">
          <cell r="C60">
            <v>2060</v>
          </cell>
          <cell r="D60" t="str">
            <v>Hunter's Bar Infant School</v>
          </cell>
          <cell r="E60">
            <v>0</v>
          </cell>
          <cell r="F60">
            <v>267</v>
          </cell>
          <cell r="G60">
            <v>27313.930420034445</v>
          </cell>
          <cell r="H60">
            <v>8591.8904200344496</v>
          </cell>
        </row>
        <row r="61">
          <cell r="C61">
            <v>2058</v>
          </cell>
          <cell r="D61" t="str">
            <v>Hunter's Bar Junior School</v>
          </cell>
          <cell r="E61">
            <v>0</v>
          </cell>
          <cell r="F61">
            <v>362</v>
          </cell>
          <cell r="G61">
            <v>37032.370082593516</v>
          </cell>
          <cell r="H61">
            <v>11648.930082593524</v>
          </cell>
        </row>
        <row r="62">
          <cell r="C62">
            <v>2063</v>
          </cell>
          <cell r="D62" t="str">
            <v>Intake Primary School</v>
          </cell>
          <cell r="E62">
            <v>0</v>
          </cell>
          <cell r="F62">
            <v>409</v>
          </cell>
          <cell r="G62">
            <v>41840.44023143853</v>
          </cell>
          <cell r="H62">
            <v>13161.360231438541</v>
          </cell>
        </row>
        <row r="63">
          <cell r="C63">
            <v>2261</v>
          </cell>
          <cell r="D63" t="str">
            <v>Limpsfield Junior School</v>
          </cell>
          <cell r="E63">
            <v>0</v>
          </cell>
          <cell r="F63">
            <v>235</v>
          </cell>
          <cell r="G63">
            <v>24040.350744225074</v>
          </cell>
          <cell r="H63">
            <v>7562.1507442250777</v>
          </cell>
        </row>
        <row r="64">
          <cell r="C64">
            <v>2315</v>
          </cell>
          <cell r="D64" t="str">
            <v>Lound Infant School</v>
          </cell>
          <cell r="E64" t="str">
            <v>Recoupment Academy</v>
          </cell>
          <cell r="F64">
            <v>145</v>
          </cell>
          <cell r="G64">
            <v>14833.407906011214</v>
          </cell>
          <cell r="H64">
            <v>4666.0079060112184</v>
          </cell>
        </row>
        <row r="65">
          <cell r="C65">
            <v>2298</v>
          </cell>
          <cell r="D65" t="str">
            <v>Lound Junior School</v>
          </cell>
          <cell r="E65" t="str">
            <v>Recoupment Academy</v>
          </cell>
          <cell r="F65">
            <v>209</v>
          </cell>
          <cell r="G65">
            <v>21380.567257629958</v>
          </cell>
          <cell r="H65">
            <v>6725.4872576299631</v>
          </cell>
        </row>
        <row r="66">
          <cell r="C66">
            <v>2029</v>
          </cell>
          <cell r="D66" t="str">
            <v>Lowedges Junior Academy</v>
          </cell>
          <cell r="E66" t="str">
            <v>Recoupment Academy</v>
          </cell>
          <cell r="F66">
            <v>302</v>
          </cell>
          <cell r="G66">
            <v>30894.408190450944</v>
          </cell>
          <cell r="H66">
            <v>9718.1681904509514</v>
          </cell>
        </row>
        <row r="67">
          <cell r="C67">
            <v>2045</v>
          </cell>
          <cell r="D67" t="str">
            <v>Lower Meadow Primary School</v>
          </cell>
          <cell r="E67" t="str">
            <v>Recoupment Academy</v>
          </cell>
          <cell r="F67">
            <v>249</v>
          </cell>
          <cell r="G67">
            <v>25472.541852391674</v>
          </cell>
          <cell r="H67">
            <v>8012.6618523916786</v>
          </cell>
        </row>
        <row r="68">
          <cell r="C68">
            <v>2070</v>
          </cell>
          <cell r="D68" t="str">
            <v>Lowfield Community Primary School</v>
          </cell>
          <cell r="E68">
            <v>0</v>
          </cell>
          <cell r="F68">
            <v>365</v>
          </cell>
          <cell r="G68">
            <v>37339.268177200647</v>
          </cell>
          <cell r="H68">
            <v>11745.468177200653</v>
          </cell>
        </row>
        <row r="69">
          <cell r="C69">
            <v>2292</v>
          </cell>
          <cell r="D69" t="str">
            <v>Loxley Primary School</v>
          </cell>
          <cell r="E69" t="str">
            <v>Recoupment Academy</v>
          </cell>
          <cell r="F69">
            <v>209</v>
          </cell>
          <cell r="G69">
            <v>21380.567257629958</v>
          </cell>
          <cell r="H69">
            <v>6725.4872576299631</v>
          </cell>
        </row>
        <row r="70">
          <cell r="C70">
            <v>2072</v>
          </cell>
          <cell r="D70" t="str">
            <v>Lydgate Infant School</v>
          </cell>
          <cell r="E70">
            <v>0</v>
          </cell>
          <cell r="F70">
            <v>356</v>
          </cell>
          <cell r="G70">
            <v>36418.57389337926</v>
          </cell>
          <cell r="H70">
            <v>11455.853893379268</v>
          </cell>
        </row>
        <row r="71">
          <cell r="C71">
            <v>2071</v>
          </cell>
          <cell r="D71" t="str">
            <v>Lydgate Junior School</v>
          </cell>
          <cell r="E71">
            <v>0</v>
          </cell>
          <cell r="F71">
            <v>475</v>
          </cell>
          <cell r="G71">
            <v>48592.198312795357</v>
          </cell>
          <cell r="H71">
            <v>15285.19831279537</v>
          </cell>
        </row>
        <row r="72">
          <cell r="C72">
            <v>2358</v>
          </cell>
          <cell r="D72" t="str">
            <v>Malin Bridge Primary School</v>
          </cell>
          <cell r="E72" t="str">
            <v>Recoupment Academy</v>
          </cell>
          <cell r="F72">
            <v>522</v>
          </cell>
          <cell r="G72">
            <v>53400.268461640371</v>
          </cell>
          <cell r="H72">
            <v>16797.628461640386</v>
          </cell>
        </row>
        <row r="73">
          <cell r="C73">
            <v>2359</v>
          </cell>
          <cell r="D73" t="str">
            <v>Manor Lodge Community Primary and Nursery School</v>
          </cell>
          <cell r="E73" t="str">
            <v>Recoupment Academy</v>
          </cell>
          <cell r="F73">
            <v>319</v>
          </cell>
          <cell r="G73">
            <v>32633.497393224672</v>
          </cell>
          <cell r="H73">
            <v>10265.217393224681</v>
          </cell>
        </row>
        <row r="74">
          <cell r="C74">
            <v>2012</v>
          </cell>
          <cell r="D74" t="str">
            <v>Mansel Primary</v>
          </cell>
          <cell r="E74" t="str">
            <v>Recoupment Academy</v>
          </cell>
          <cell r="F74">
            <v>385</v>
          </cell>
          <cell r="G74">
            <v>39385.2554745815</v>
          </cell>
          <cell r="H74">
            <v>12389.055474581512</v>
          </cell>
        </row>
        <row r="75">
          <cell r="C75">
            <v>2079</v>
          </cell>
          <cell r="D75" t="str">
            <v>Marlcliffe Community Primary School</v>
          </cell>
          <cell r="E75">
            <v>0</v>
          </cell>
          <cell r="F75">
            <v>509</v>
          </cell>
          <cell r="G75">
            <v>52070.376718342814</v>
          </cell>
          <cell r="H75">
            <v>16379.296718342828</v>
          </cell>
        </row>
        <row r="76">
          <cell r="C76">
            <v>2081</v>
          </cell>
          <cell r="D76" t="str">
            <v>Meersbrook Bank Primary School</v>
          </cell>
          <cell r="E76">
            <v>0</v>
          </cell>
          <cell r="F76">
            <v>200</v>
          </cell>
          <cell r="G76">
            <v>20459.872973808571</v>
          </cell>
          <cell r="H76">
            <v>6435.8729738085767</v>
          </cell>
        </row>
        <row r="77">
          <cell r="C77">
            <v>2013</v>
          </cell>
          <cell r="D77" t="str">
            <v>Meynell Community Primary School</v>
          </cell>
          <cell r="E77" t="str">
            <v>Recoupment Academy</v>
          </cell>
          <cell r="F77">
            <v>361</v>
          </cell>
          <cell r="G77">
            <v>36930.070717724469</v>
          </cell>
          <cell r="H77">
            <v>11616.750717724482</v>
          </cell>
        </row>
        <row r="78">
          <cell r="C78">
            <v>2346</v>
          </cell>
          <cell r="D78" t="str">
            <v>Monteney Primary School</v>
          </cell>
          <cell r="E78" t="str">
            <v>Recoupment Academy</v>
          </cell>
          <cell r="F78">
            <v>400</v>
          </cell>
          <cell r="G78">
            <v>40919.745947617143</v>
          </cell>
          <cell r="H78">
            <v>12871.745947617153</v>
          </cell>
        </row>
        <row r="79">
          <cell r="C79">
            <v>2257</v>
          </cell>
          <cell r="D79" t="str">
            <v>Mosborough Primary School</v>
          </cell>
          <cell r="E79">
            <v>0</v>
          </cell>
          <cell r="F79">
            <v>410</v>
          </cell>
          <cell r="G79">
            <v>41942.739596307576</v>
          </cell>
          <cell r="H79">
            <v>13193.539596307583</v>
          </cell>
        </row>
        <row r="80">
          <cell r="C80">
            <v>2092</v>
          </cell>
          <cell r="D80" t="str">
            <v>Mundella Primary School</v>
          </cell>
          <cell r="E80">
            <v>0</v>
          </cell>
          <cell r="F80">
            <v>420</v>
          </cell>
          <cell r="G80">
            <v>42965.733244998002</v>
          </cell>
          <cell r="H80">
            <v>13515.333244998012</v>
          </cell>
        </row>
        <row r="81">
          <cell r="C81">
            <v>2002</v>
          </cell>
          <cell r="D81" t="str">
            <v>Nether Edge Primary School</v>
          </cell>
          <cell r="E81" t="str">
            <v>Recoupment Academy</v>
          </cell>
          <cell r="F81">
            <v>404</v>
          </cell>
          <cell r="G81">
            <v>41328.943407093313</v>
          </cell>
          <cell r="H81">
            <v>13000.463407093326</v>
          </cell>
        </row>
        <row r="82">
          <cell r="C82">
            <v>2221</v>
          </cell>
          <cell r="D82" t="str">
            <v>Nether Green Infant School</v>
          </cell>
          <cell r="E82">
            <v>0</v>
          </cell>
          <cell r="F82">
            <v>211</v>
          </cell>
          <cell r="G82">
            <v>21585.165987368044</v>
          </cell>
          <cell r="H82">
            <v>6789.8459873680486</v>
          </cell>
        </row>
        <row r="83">
          <cell r="C83">
            <v>2087</v>
          </cell>
          <cell r="D83" t="str">
            <v>Nether Green Junior School</v>
          </cell>
          <cell r="E83">
            <v>0</v>
          </cell>
          <cell r="F83">
            <v>359</v>
          </cell>
          <cell r="G83">
            <v>36725.471987986384</v>
          </cell>
          <cell r="H83">
            <v>11552.391987986395</v>
          </cell>
        </row>
        <row r="84">
          <cell r="C84">
            <v>2272</v>
          </cell>
          <cell r="D84" t="str">
            <v>Netherthorpe Primary School</v>
          </cell>
          <cell r="E84">
            <v>0</v>
          </cell>
          <cell r="F84">
            <v>206</v>
          </cell>
          <cell r="G84">
            <v>21073.669163022831</v>
          </cell>
          <cell r="H84">
            <v>6628.949163022834</v>
          </cell>
        </row>
        <row r="85">
          <cell r="C85">
            <v>2309</v>
          </cell>
          <cell r="D85" t="str">
            <v>Nook Lane Junior School</v>
          </cell>
          <cell r="E85" t="str">
            <v>Recoupment Academy</v>
          </cell>
          <cell r="F85">
            <v>252</v>
          </cell>
          <cell r="G85">
            <v>25779.439946998802</v>
          </cell>
          <cell r="H85">
            <v>8109.1999469988068</v>
          </cell>
        </row>
        <row r="86">
          <cell r="C86">
            <v>2051</v>
          </cell>
          <cell r="D86" t="str">
            <v>Norfolk Community Primary School</v>
          </cell>
          <cell r="E86" t="str">
            <v>Recoupment Academy</v>
          </cell>
          <cell r="F86">
            <v>388</v>
          </cell>
          <cell r="G86">
            <v>39692.153569188631</v>
          </cell>
          <cell r="H86">
            <v>12485.593569188639</v>
          </cell>
        </row>
        <row r="87">
          <cell r="C87">
            <v>3010</v>
          </cell>
          <cell r="D87" t="str">
            <v>Norton Free Church of England Primary School</v>
          </cell>
          <cell r="E87">
            <v>0</v>
          </cell>
          <cell r="F87">
            <v>209</v>
          </cell>
          <cell r="G87">
            <v>21380.567257629958</v>
          </cell>
          <cell r="H87">
            <v>6725.4872576299631</v>
          </cell>
        </row>
        <row r="88">
          <cell r="C88">
            <v>2018</v>
          </cell>
          <cell r="D88" t="str">
            <v>Oasis Academy Fir Vale</v>
          </cell>
          <cell r="E88" t="str">
            <v>Recoupment Academy</v>
          </cell>
          <cell r="F88">
            <v>401</v>
          </cell>
          <cell r="G88">
            <v>41022.045312486189</v>
          </cell>
          <cell r="H88">
            <v>12903.925312486197</v>
          </cell>
        </row>
        <row r="89">
          <cell r="C89">
            <v>2019</v>
          </cell>
          <cell r="D89" t="str">
            <v>Oasis Academy Watermead</v>
          </cell>
          <cell r="E89" t="str">
            <v>Recoupment Academy</v>
          </cell>
          <cell r="F89">
            <v>377</v>
          </cell>
          <cell r="G89">
            <v>38566.860555629159</v>
          </cell>
          <cell r="H89">
            <v>12131.620555629168</v>
          </cell>
        </row>
        <row r="90">
          <cell r="C90">
            <v>2313</v>
          </cell>
          <cell r="D90" t="str">
            <v>Oughtibridge Primary School</v>
          </cell>
          <cell r="E90" t="str">
            <v>Recoupment Academy</v>
          </cell>
          <cell r="F90">
            <v>416</v>
          </cell>
          <cell r="G90">
            <v>42556.535785521832</v>
          </cell>
          <cell r="H90">
            <v>13386.615785521841</v>
          </cell>
        </row>
        <row r="91">
          <cell r="C91">
            <v>2093</v>
          </cell>
          <cell r="D91" t="str">
            <v>Owler Brook Primary School</v>
          </cell>
          <cell r="E91" t="str">
            <v>Recoupment Academy</v>
          </cell>
          <cell r="F91">
            <v>384</v>
          </cell>
          <cell r="G91">
            <v>39282.956109712461</v>
          </cell>
          <cell r="H91">
            <v>12356.876109712468</v>
          </cell>
        </row>
        <row r="92">
          <cell r="C92">
            <v>3428</v>
          </cell>
          <cell r="D92" t="str">
            <v>Parson Cross Church of England Primary School</v>
          </cell>
          <cell r="E92">
            <v>0</v>
          </cell>
          <cell r="F92">
            <v>201</v>
          </cell>
          <cell r="G92">
            <v>20562.172338677614</v>
          </cell>
          <cell r="H92">
            <v>6468.0523386776204</v>
          </cell>
        </row>
        <row r="93">
          <cell r="C93">
            <v>2332</v>
          </cell>
          <cell r="D93" t="str">
            <v>Phillimore Community Primary School</v>
          </cell>
          <cell r="E93" t="str">
            <v>Recoupment Academy</v>
          </cell>
          <cell r="F93">
            <v>413</v>
          </cell>
          <cell r="G93">
            <v>42249.6376909147</v>
          </cell>
          <cell r="H93">
            <v>13290.077690914712</v>
          </cell>
        </row>
        <row r="94">
          <cell r="C94">
            <v>3433</v>
          </cell>
          <cell r="D94" t="str">
            <v>Pipworth Community Primary School</v>
          </cell>
          <cell r="E94">
            <v>0</v>
          </cell>
          <cell r="F94">
            <v>410</v>
          </cell>
          <cell r="G94">
            <v>41942.739596307576</v>
          </cell>
          <cell r="H94">
            <v>13193.539596307583</v>
          </cell>
        </row>
        <row r="95">
          <cell r="C95">
            <v>3427</v>
          </cell>
          <cell r="D95" t="str">
            <v>Porter Croft Church of England Primary Academy</v>
          </cell>
          <cell r="E95" t="str">
            <v>Recoupment Academy</v>
          </cell>
          <cell r="F95">
            <v>213</v>
          </cell>
          <cell r="G95">
            <v>21789.764717106129</v>
          </cell>
          <cell r="H95">
            <v>6854.2047171061349</v>
          </cell>
        </row>
        <row r="96">
          <cell r="C96">
            <v>2347</v>
          </cell>
          <cell r="D96" t="str">
            <v>Prince Edward Primary School</v>
          </cell>
          <cell r="E96">
            <v>0</v>
          </cell>
          <cell r="F96">
            <v>411</v>
          </cell>
          <cell r="G96">
            <v>42045.038961176615</v>
          </cell>
          <cell r="H96">
            <v>13225.718961176626</v>
          </cell>
        </row>
        <row r="97">
          <cell r="C97">
            <v>2366</v>
          </cell>
          <cell r="D97" t="str">
            <v>Pye Bank CofE Primary School</v>
          </cell>
          <cell r="E97" t="str">
            <v>Recoupment Academy</v>
          </cell>
          <cell r="F97">
            <v>393</v>
          </cell>
          <cell r="G97">
            <v>40203.650393533848</v>
          </cell>
          <cell r="H97">
            <v>12646.490393533853</v>
          </cell>
        </row>
        <row r="98">
          <cell r="C98">
            <v>2363</v>
          </cell>
          <cell r="D98" t="str">
            <v>Rainbow Forge Primary Academy</v>
          </cell>
          <cell r="E98" t="str">
            <v>Recoupment Academy</v>
          </cell>
          <cell r="F98">
            <v>288</v>
          </cell>
          <cell r="G98">
            <v>29462.217082284344</v>
          </cell>
          <cell r="H98">
            <v>9267.6570822843514</v>
          </cell>
        </row>
        <row r="99">
          <cell r="C99">
            <v>2334</v>
          </cell>
          <cell r="D99" t="str">
            <v>Reignhead Primary School</v>
          </cell>
          <cell r="E99">
            <v>0</v>
          </cell>
          <cell r="F99">
            <v>264</v>
          </cell>
          <cell r="G99">
            <v>27007.032325427317</v>
          </cell>
          <cell r="H99">
            <v>8495.3523254273223</v>
          </cell>
        </row>
        <row r="100">
          <cell r="C100">
            <v>2338</v>
          </cell>
          <cell r="D100" t="str">
            <v>Rivelin Primary School</v>
          </cell>
          <cell r="E100">
            <v>0</v>
          </cell>
          <cell r="F100">
            <v>318</v>
          </cell>
          <cell r="G100">
            <v>32531.19802835563</v>
          </cell>
          <cell r="H100">
            <v>10233.038028355637</v>
          </cell>
        </row>
        <row r="101">
          <cell r="C101">
            <v>2306</v>
          </cell>
          <cell r="D101" t="str">
            <v>Royd Nursery and Infant School</v>
          </cell>
          <cell r="E101">
            <v>0</v>
          </cell>
          <cell r="F101">
            <v>130</v>
          </cell>
          <cell r="G101">
            <v>13298.917432975572</v>
          </cell>
          <cell r="H101">
            <v>4183.3174329755748</v>
          </cell>
        </row>
        <row r="102">
          <cell r="C102">
            <v>3401</v>
          </cell>
          <cell r="D102" t="str">
            <v>Sacred Heart School, A Catholic Voluntary Academy</v>
          </cell>
          <cell r="E102" t="str">
            <v>Recoupment Academy</v>
          </cell>
          <cell r="F102">
            <v>206</v>
          </cell>
          <cell r="G102">
            <v>21073.669163022831</v>
          </cell>
          <cell r="H102">
            <v>6628.949163022834</v>
          </cell>
        </row>
        <row r="103">
          <cell r="C103">
            <v>2369</v>
          </cell>
          <cell r="D103" t="str">
            <v>Sharrow Nursery, Infant and Junior School</v>
          </cell>
          <cell r="E103">
            <v>0</v>
          </cell>
          <cell r="F103">
            <v>415</v>
          </cell>
          <cell r="G103">
            <v>42454.236420652785</v>
          </cell>
          <cell r="H103">
            <v>13354.436420652797</v>
          </cell>
        </row>
        <row r="104">
          <cell r="C104">
            <v>2349</v>
          </cell>
          <cell r="D104" t="str">
            <v>Shooter's Grove Primary School</v>
          </cell>
          <cell r="E104">
            <v>0</v>
          </cell>
          <cell r="F104">
            <v>354</v>
          </cell>
          <cell r="G104">
            <v>36213.975163641175</v>
          </cell>
          <cell r="H104">
            <v>11391.495163641181</v>
          </cell>
        </row>
        <row r="105">
          <cell r="C105">
            <v>2360</v>
          </cell>
          <cell r="D105" t="str">
            <v>Shortbrook Primary School</v>
          </cell>
          <cell r="E105">
            <v>0</v>
          </cell>
          <cell r="F105">
            <v>88</v>
          </cell>
          <cell r="G105">
            <v>9002.3441084757724</v>
          </cell>
          <cell r="H105">
            <v>2831.7841084757738</v>
          </cell>
        </row>
        <row r="106">
          <cell r="C106">
            <v>2009</v>
          </cell>
          <cell r="D106" t="str">
            <v>Southey Green Primary School and Nurseries</v>
          </cell>
          <cell r="E106" t="str">
            <v>Recoupment Academy</v>
          </cell>
          <cell r="F106">
            <v>605</v>
          </cell>
          <cell r="G106">
            <v>61891.115745770934</v>
          </cell>
          <cell r="H106">
            <v>19468.515745770947</v>
          </cell>
        </row>
        <row r="107">
          <cell r="C107">
            <v>2329</v>
          </cell>
          <cell r="D107" t="str">
            <v>Springfield Primary School</v>
          </cell>
          <cell r="E107">
            <v>0</v>
          </cell>
          <cell r="F107">
            <v>209</v>
          </cell>
          <cell r="G107">
            <v>21380.567257629958</v>
          </cell>
          <cell r="H107">
            <v>6725.4872576299631</v>
          </cell>
        </row>
        <row r="108">
          <cell r="C108">
            <v>5202</v>
          </cell>
          <cell r="D108" t="str">
            <v>St Ann's Catholic Primary School, A Voluntary Academy</v>
          </cell>
          <cell r="E108" t="str">
            <v>Recoupment Academy</v>
          </cell>
          <cell r="F108">
            <v>92</v>
          </cell>
          <cell r="G108">
            <v>9411.5415679519429</v>
          </cell>
          <cell r="H108">
            <v>2960.5015679519456</v>
          </cell>
        </row>
        <row r="109">
          <cell r="C109">
            <v>3402</v>
          </cell>
          <cell r="D109" t="str">
            <v>St Catherine's Catholic Primary School (Hallam)</v>
          </cell>
          <cell r="E109" t="str">
            <v>Recoupment Academy</v>
          </cell>
          <cell r="F109">
            <v>422</v>
          </cell>
          <cell r="G109">
            <v>43170.331974736087</v>
          </cell>
          <cell r="H109">
            <v>13579.691974736097</v>
          </cell>
        </row>
        <row r="110">
          <cell r="C110">
            <v>2017</v>
          </cell>
          <cell r="D110" t="str">
            <v>St John Fisher Primary, A Catholic Voluntary Academy</v>
          </cell>
          <cell r="E110" t="str">
            <v>Recoupment Academy</v>
          </cell>
          <cell r="F110">
            <v>210</v>
          </cell>
          <cell r="G110">
            <v>21482.866622499001</v>
          </cell>
          <cell r="H110">
            <v>6757.6666224990058</v>
          </cell>
        </row>
        <row r="111">
          <cell r="C111">
            <v>5203</v>
          </cell>
          <cell r="D111" t="str">
            <v>St Joseph's Primary School</v>
          </cell>
          <cell r="E111" t="str">
            <v>Recoupment Academy</v>
          </cell>
          <cell r="F111">
            <v>204</v>
          </cell>
          <cell r="G111">
            <v>20869.070433284745</v>
          </cell>
          <cell r="H111">
            <v>6564.5904332847485</v>
          </cell>
        </row>
        <row r="112">
          <cell r="C112">
            <v>3406</v>
          </cell>
          <cell r="D112" t="str">
            <v>St Marie's School, A Catholic Voluntary Academy</v>
          </cell>
          <cell r="E112" t="str">
            <v>Recoupment Academy</v>
          </cell>
          <cell r="F112">
            <v>217</v>
          </cell>
          <cell r="G112">
            <v>22198.962176582299</v>
          </cell>
          <cell r="H112">
            <v>6982.9221765823058</v>
          </cell>
        </row>
        <row r="113">
          <cell r="C113">
            <v>2020</v>
          </cell>
          <cell r="D113" t="str">
            <v>St Mary's Church of England Primary School</v>
          </cell>
          <cell r="E113" t="str">
            <v>Recoupment Academy</v>
          </cell>
          <cell r="F113">
            <v>197</v>
          </cell>
          <cell r="G113">
            <v>20152.974879201443</v>
          </cell>
          <cell r="H113">
            <v>6339.3348792014485</v>
          </cell>
        </row>
        <row r="114">
          <cell r="C114">
            <v>3423</v>
          </cell>
          <cell r="D114" t="str">
            <v>St Mary's Primary School, A Catholic Voluntary Academy</v>
          </cell>
          <cell r="E114" t="str">
            <v>Recoupment Academy</v>
          </cell>
          <cell r="F114">
            <v>188</v>
          </cell>
          <cell r="G114">
            <v>19232.280595380056</v>
          </cell>
          <cell r="H114">
            <v>6049.7205953800622</v>
          </cell>
        </row>
        <row r="115">
          <cell r="C115">
            <v>5207</v>
          </cell>
          <cell r="D115" t="str">
            <v>St Patrick's Catholic Voluntary Academy</v>
          </cell>
          <cell r="E115" t="str">
            <v>Recoupment Academy</v>
          </cell>
          <cell r="F115">
            <v>279</v>
          </cell>
          <cell r="G115">
            <v>28541.52279846296</v>
          </cell>
          <cell r="H115">
            <v>8978.0427984629641</v>
          </cell>
        </row>
        <row r="116">
          <cell r="C116">
            <v>5208</v>
          </cell>
          <cell r="D116" t="str">
            <v>St Theresa's Catholic Primary School</v>
          </cell>
          <cell r="E116">
            <v>0</v>
          </cell>
          <cell r="F116">
            <v>207</v>
          </cell>
          <cell r="G116">
            <v>21175.968527891873</v>
          </cell>
          <cell r="H116">
            <v>6661.1285278918776</v>
          </cell>
        </row>
        <row r="117">
          <cell r="C117">
            <v>3424</v>
          </cell>
          <cell r="D117" t="str">
            <v>St Thomas More Catholic Primary, A Voluntary Academy</v>
          </cell>
          <cell r="E117" t="str">
            <v>Recoupment Academy</v>
          </cell>
          <cell r="F117">
            <v>209</v>
          </cell>
          <cell r="G117">
            <v>21380.567257629958</v>
          </cell>
          <cell r="H117">
            <v>6725.4872576299631</v>
          </cell>
        </row>
        <row r="118">
          <cell r="C118">
            <v>3414</v>
          </cell>
          <cell r="D118" t="str">
            <v>St Thomas of Canterbury School, a Catholic Voluntary Academy</v>
          </cell>
          <cell r="E118" t="str">
            <v>Recoupment Academy</v>
          </cell>
          <cell r="F118">
            <v>211</v>
          </cell>
          <cell r="G118">
            <v>21585.165987368044</v>
          </cell>
          <cell r="H118">
            <v>6789.8459873680486</v>
          </cell>
        </row>
        <row r="119">
          <cell r="C119">
            <v>3412</v>
          </cell>
          <cell r="D119" t="str">
            <v>St Wilfrid's Catholic Primary School</v>
          </cell>
          <cell r="E119" t="str">
            <v>Recoupment Academy</v>
          </cell>
          <cell r="F119">
            <v>307</v>
          </cell>
          <cell r="G119">
            <v>31405.905014796157</v>
          </cell>
          <cell r="H119">
            <v>9879.065014796166</v>
          </cell>
        </row>
        <row r="120">
          <cell r="C120">
            <v>2294</v>
          </cell>
          <cell r="D120" t="str">
            <v>Stannington Infant School</v>
          </cell>
          <cell r="E120" t="str">
            <v>Recoupment Academy</v>
          </cell>
          <cell r="F120">
            <v>181</v>
          </cell>
          <cell r="G120">
            <v>18516.185041296758</v>
          </cell>
          <cell r="H120">
            <v>5824.4650412967621</v>
          </cell>
        </row>
        <row r="121">
          <cell r="C121">
            <v>2303</v>
          </cell>
          <cell r="D121" t="str">
            <v>Stocksbridge Junior School</v>
          </cell>
          <cell r="E121">
            <v>0</v>
          </cell>
          <cell r="F121">
            <v>308</v>
          </cell>
          <cell r="G121">
            <v>31508.2043796652</v>
          </cell>
          <cell r="H121">
            <v>9911.2443796652078</v>
          </cell>
        </row>
        <row r="122">
          <cell r="C122">
            <v>2302</v>
          </cell>
          <cell r="D122" t="str">
            <v>Stocksbridge Nursery Infant School</v>
          </cell>
          <cell r="E122">
            <v>0</v>
          </cell>
          <cell r="F122">
            <v>194</v>
          </cell>
          <cell r="G122">
            <v>19846.076784594316</v>
          </cell>
          <cell r="H122">
            <v>6242.7967845943194</v>
          </cell>
        </row>
        <row r="123">
          <cell r="C123">
            <v>2350</v>
          </cell>
          <cell r="D123" t="str">
            <v>Stradbroke Primary School</v>
          </cell>
          <cell r="E123">
            <v>0</v>
          </cell>
          <cell r="F123">
            <v>412</v>
          </cell>
          <cell r="G123">
            <v>42147.338326045661</v>
          </cell>
          <cell r="H123">
            <v>13257.898326045668</v>
          </cell>
        </row>
        <row r="124">
          <cell r="C124">
            <v>2230</v>
          </cell>
          <cell r="D124" t="str">
            <v>Tinsley Meadows Primary School</v>
          </cell>
          <cell r="E124" t="str">
            <v>Recoupment Academy</v>
          </cell>
          <cell r="F124">
            <v>543</v>
          </cell>
          <cell r="G124">
            <v>55548.555123890277</v>
          </cell>
          <cell r="H124">
            <v>17473.395123890288</v>
          </cell>
        </row>
        <row r="125">
          <cell r="C125">
            <v>5206</v>
          </cell>
          <cell r="D125" t="str">
            <v>Totley All Saints Church of England Voluntary Aided Primary School</v>
          </cell>
          <cell r="E125" t="str">
            <v>Recoupment Academy</v>
          </cell>
          <cell r="F125">
            <v>214</v>
          </cell>
          <cell r="G125">
            <v>21892.064081975172</v>
          </cell>
          <cell r="H125">
            <v>6886.3840819751777</v>
          </cell>
        </row>
        <row r="126">
          <cell r="C126">
            <v>2203</v>
          </cell>
          <cell r="D126" t="str">
            <v>Totley Primary School</v>
          </cell>
          <cell r="E126" t="str">
            <v>Recoupment Academy</v>
          </cell>
          <cell r="F126">
            <v>399</v>
          </cell>
          <cell r="G126">
            <v>40817.446582748104</v>
          </cell>
          <cell r="H126">
            <v>12839.566582748112</v>
          </cell>
        </row>
        <row r="127">
          <cell r="C127">
            <v>2351</v>
          </cell>
          <cell r="D127" t="str">
            <v>Walkley Primary School</v>
          </cell>
          <cell r="E127">
            <v>0</v>
          </cell>
          <cell r="F127">
            <v>345</v>
          </cell>
          <cell r="G127">
            <v>35293.280879819788</v>
          </cell>
          <cell r="H127">
            <v>11101.880879819795</v>
          </cell>
        </row>
        <row r="128">
          <cell r="C128">
            <v>3432</v>
          </cell>
          <cell r="D128" t="str">
            <v>Watercliffe Meadow Community Primary School</v>
          </cell>
          <cell r="E128">
            <v>0</v>
          </cell>
          <cell r="F128">
            <v>407</v>
          </cell>
          <cell r="G128">
            <v>41635.841501700444</v>
          </cell>
          <cell r="H128">
            <v>13097.001501700453</v>
          </cell>
        </row>
        <row r="129">
          <cell r="C129">
            <v>2319</v>
          </cell>
          <cell r="D129" t="str">
            <v>Waterthorpe Infant School</v>
          </cell>
          <cell r="E129">
            <v>0</v>
          </cell>
          <cell r="F129">
            <v>124</v>
          </cell>
          <cell r="G129">
            <v>12685.121243761314</v>
          </cell>
          <cell r="H129">
            <v>3990.2412437613179</v>
          </cell>
        </row>
        <row r="130">
          <cell r="C130">
            <v>2352</v>
          </cell>
          <cell r="D130" t="str">
            <v>Westways Primary School</v>
          </cell>
          <cell r="E130">
            <v>0</v>
          </cell>
          <cell r="F130">
            <v>572</v>
          </cell>
          <cell r="G130">
            <v>58515.236705092517</v>
          </cell>
          <cell r="H130">
            <v>18406.596705092532</v>
          </cell>
        </row>
        <row r="131">
          <cell r="C131">
            <v>2311</v>
          </cell>
          <cell r="D131" t="str">
            <v>Wharncliffe Side Primary School</v>
          </cell>
          <cell r="E131" t="str">
            <v>Recoupment Academy</v>
          </cell>
          <cell r="F131">
            <v>141</v>
          </cell>
          <cell r="G131">
            <v>14424.210446535044</v>
          </cell>
          <cell r="H131">
            <v>4537.2904465350466</v>
          </cell>
        </row>
        <row r="132">
          <cell r="C132">
            <v>2040</v>
          </cell>
          <cell r="D132" t="str">
            <v>Whiteways Primary School</v>
          </cell>
          <cell r="E132" t="str">
            <v>Recoupment Academy</v>
          </cell>
          <cell r="F132">
            <v>408</v>
          </cell>
          <cell r="G132">
            <v>41738.140866569491</v>
          </cell>
          <cell r="H132">
            <v>13129.180866569497</v>
          </cell>
        </row>
        <row r="133">
          <cell r="C133">
            <v>2027</v>
          </cell>
          <cell r="D133" t="str">
            <v>Wincobank Nursery and Infant School</v>
          </cell>
          <cell r="E133" t="str">
            <v>Recoupment Academy</v>
          </cell>
          <cell r="F133">
            <v>122</v>
          </cell>
          <cell r="G133">
            <v>12480.522514023229</v>
          </cell>
          <cell r="H133">
            <v>3925.882514023232</v>
          </cell>
        </row>
        <row r="134">
          <cell r="C134">
            <v>2361</v>
          </cell>
          <cell r="D134" t="str">
            <v>Windmill Hill Primary School</v>
          </cell>
          <cell r="E134" t="str">
            <v>Recoupment Academy</v>
          </cell>
          <cell r="F134">
            <v>317</v>
          </cell>
          <cell r="G134">
            <v>32428.898663486587</v>
          </cell>
          <cell r="H134">
            <v>10200.858663486595</v>
          </cell>
        </row>
        <row r="135">
          <cell r="C135">
            <v>2043</v>
          </cell>
          <cell r="D135" t="str">
            <v>Wisewood Community Primary School</v>
          </cell>
          <cell r="E135" t="str">
            <v>Recoupment Academy</v>
          </cell>
          <cell r="F135">
            <v>153</v>
          </cell>
          <cell r="G135">
            <v>15651.802824963557</v>
          </cell>
          <cell r="H135">
            <v>4923.4428249635612</v>
          </cell>
        </row>
        <row r="136">
          <cell r="C136">
            <v>2139</v>
          </cell>
          <cell r="D136" t="str">
            <v>Woodhouse West Primary School</v>
          </cell>
          <cell r="E136" t="str">
            <v>Recoupment Academy</v>
          </cell>
          <cell r="F136">
            <v>343</v>
          </cell>
          <cell r="G136">
            <v>35088.682150081702</v>
          </cell>
          <cell r="H136">
            <v>11037.52215008171</v>
          </cell>
        </row>
        <row r="137">
          <cell r="C137">
            <v>2034</v>
          </cell>
          <cell r="D137" t="str">
            <v>Woodlands Primary (Valley Park) Community School</v>
          </cell>
          <cell r="E137" t="str">
            <v>Recoupment Academy</v>
          </cell>
          <cell r="F137">
            <v>354</v>
          </cell>
          <cell r="G137">
            <v>36213.975163641175</v>
          </cell>
          <cell r="H137">
            <v>11391.495163641181</v>
          </cell>
        </row>
        <row r="138">
          <cell r="C138">
            <v>2324</v>
          </cell>
          <cell r="D138" t="str">
            <v>Woodseats Primary School</v>
          </cell>
          <cell r="E138" t="str">
            <v>Recoupment Academy</v>
          </cell>
          <cell r="F138">
            <v>375</v>
          </cell>
          <cell r="G138">
            <v>38362.261825891073</v>
          </cell>
          <cell r="H138">
            <v>12067.261825891082</v>
          </cell>
        </row>
        <row r="139">
          <cell r="C139">
            <v>2327</v>
          </cell>
          <cell r="D139" t="str">
            <v>Woodthorpe Primary School</v>
          </cell>
          <cell r="E139" t="str">
            <v>Recoupment Academy</v>
          </cell>
          <cell r="F139">
            <v>396</v>
          </cell>
          <cell r="G139">
            <v>40510.548488140972</v>
          </cell>
          <cell r="H139">
            <v>12743.028488140983</v>
          </cell>
        </row>
        <row r="140">
          <cell r="C140">
            <v>2321</v>
          </cell>
          <cell r="D140" t="str">
            <v>Wybourn Community Primary &amp; Nursery School</v>
          </cell>
          <cell r="E140" t="str">
            <v>Recoupment Academy</v>
          </cell>
          <cell r="F140">
            <v>413</v>
          </cell>
          <cell r="G140">
            <v>42249.6376909147</v>
          </cell>
          <cell r="H140">
            <v>13290.077690914712</v>
          </cell>
        </row>
        <row r="142">
          <cell r="D142" t="str">
            <v>Total Primary</v>
          </cell>
          <cell r="F142">
            <v>43067</v>
          </cell>
          <cell r="G142">
            <v>4405726.7468150714</v>
          </cell>
          <cell r="H142">
            <v>1385868.7068150693</v>
          </cell>
        </row>
        <row r="143">
          <cell r="F143">
            <v>0</v>
          </cell>
        </row>
        <row r="144">
          <cell r="D144" t="str">
            <v>Secondary</v>
          </cell>
          <cell r="G144">
            <v>68.899364869042884</v>
          </cell>
          <cell r="H144">
            <v>27.179364869042885</v>
          </cell>
        </row>
        <row r="146">
          <cell r="C146">
            <v>5401</v>
          </cell>
          <cell r="D146" t="str">
            <v>All Saints' Catholic High School</v>
          </cell>
          <cell r="E146" t="str">
            <v>Recoupment Academy</v>
          </cell>
          <cell r="F146">
            <v>1023</v>
          </cell>
          <cell r="G146">
            <v>70484.050261030876</v>
          </cell>
          <cell r="H146">
            <v>27804.490261030871</v>
          </cell>
        </row>
        <row r="147">
          <cell r="C147">
            <v>4017</v>
          </cell>
          <cell r="D147" t="str">
            <v>Bradfield School</v>
          </cell>
          <cell r="E147" t="str">
            <v>Recoupment Academy</v>
          </cell>
          <cell r="F147">
            <v>1081</v>
          </cell>
          <cell r="G147">
            <v>74480.213423435358</v>
          </cell>
          <cell r="H147">
            <v>29380.893423435358</v>
          </cell>
        </row>
        <row r="148">
          <cell r="C148">
            <v>4000</v>
          </cell>
          <cell r="D148" t="str">
            <v>Chaucer School</v>
          </cell>
          <cell r="E148" t="str">
            <v>Recoupment Academy</v>
          </cell>
          <cell r="F148">
            <v>820</v>
          </cell>
          <cell r="G148">
            <v>56497.479192615167</v>
          </cell>
          <cell r="H148">
            <v>22287.079192615165</v>
          </cell>
        </row>
        <row r="149">
          <cell r="C149">
            <v>4012</v>
          </cell>
          <cell r="D149" t="str">
            <v>Ecclesfield School</v>
          </cell>
          <cell r="E149" t="str">
            <v>Recoupment Academy</v>
          </cell>
          <cell r="F149">
            <v>1676</v>
          </cell>
          <cell r="G149">
            <v>115475.33552051587</v>
          </cell>
          <cell r="H149">
            <v>45552.615520515879</v>
          </cell>
        </row>
        <row r="150">
          <cell r="C150">
            <v>4280</v>
          </cell>
          <cell r="D150" t="str">
            <v>Fir Vale School</v>
          </cell>
          <cell r="E150" t="str">
            <v>Recoupment Academy</v>
          </cell>
          <cell r="F150">
            <v>986</v>
          </cell>
          <cell r="G150">
            <v>67934.773760876284</v>
          </cell>
          <cell r="H150">
            <v>26798.853760876285</v>
          </cell>
        </row>
        <row r="151">
          <cell r="C151">
            <v>4003</v>
          </cell>
          <cell r="D151" t="str">
            <v>Firth Park Academy</v>
          </cell>
          <cell r="E151" t="str">
            <v>Recoupment Academy</v>
          </cell>
          <cell r="F151">
            <v>1142</v>
          </cell>
          <cell r="G151">
            <v>78683.074680446967</v>
          </cell>
          <cell r="H151">
            <v>31038.834680446977</v>
          </cell>
        </row>
        <row r="152">
          <cell r="C152">
            <v>4007</v>
          </cell>
          <cell r="D152" t="str">
            <v>Forge Valley School</v>
          </cell>
          <cell r="E152" t="str">
            <v>Recoupment Academy</v>
          </cell>
          <cell r="F152">
            <v>1210</v>
          </cell>
          <cell r="G152">
            <v>83368.231491541883</v>
          </cell>
          <cell r="H152">
            <v>32887.031491541893</v>
          </cell>
        </row>
        <row r="153">
          <cell r="C153">
            <v>4278</v>
          </cell>
          <cell r="D153" t="str">
            <v>Handsworth Grange Community Sports College</v>
          </cell>
          <cell r="E153" t="str">
            <v>Recoupment Academy</v>
          </cell>
          <cell r="F153">
            <v>1015</v>
          </cell>
          <cell r="G153">
            <v>69932.855342078532</v>
          </cell>
          <cell r="H153">
            <v>27587.055342078529</v>
          </cell>
        </row>
        <row r="154">
          <cell r="C154">
            <v>4257</v>
          </cell>
          <cell r="D154" t="str">
            <v>High Storrs School</v>
          </cell>
          <cell r="E154" t="str">
            <v>Recoupment Academy</v>
          </cell>
          <cell r="F154">
            <v>1206</v>
          </cell>
          <cell r="G154">
            <v>83092.634032065718</v>
          </cell>
          <cell r="H154">
            <v>32778.314032065718</v>
          </cell>
        </row>
        <row r="155">
          <cell r="C155">
            <v>4230</v>
          </cell>
          <cell r="D155" t="str">
            <v>King Ecgbert School</v>
          </cell>
          <cell r="E155" t="str">
            <v>Recoupment Academy</v>
          </cell>
          <cell r="F155">
            <v>1034</v>
          </cell>
          <cell r="G155">
            <v>71241.943274590347</v>
          </cell>
          <cell r="H155">
            <v>28103.463274590344</v>
          </cell>
        </row>
        <row r="156">
          <cell r="C156">
            <v>4259</v>
          </cell>
          <cell r="D156" t="str">
            <v>King Edward VII School</v>
          </cell>
          <cell r="E156">
            <v>0</v>
          </cell>
          <cell r="F156">
            <v>1135</v>
          </cell>
          <cell r="G156">
            <v>78200.779126363675</v>
          </cell>
          <cell r="H156">
            <v>30848.579126363675</v>
          </cell>
        </row>
        <row r="157">
          <cell r="C157">
            <v>4279</v>
          </cell>
          <cell r="D157" t="str">
            <v>Meadowhead School Academy Trust</v>
          </cell>
          <cell r="E157" t="str">
            <v>Recoupment Academy</v>
          </cell>
          <cell r="F157">
            <v>1623</v>
          </cell>
          <cell r="G157">
            <v>111823.66918245661</v>
          </cell>
          <cell r="H157">
            <v>44112.109182456603</v>
          </cell>
        </row>
        <row r="158">
          <cell r="C158">
            <v>4015</v>
          </cell>
          <cell r="D158" t="str">
            <v>Mercia School</v>
          </cell>
          <cell r="E158" t="str">
            <v>Recoupment Academy</v>
          </cell>
          <cell r="F158">
            <v>716</v>
          </cell>
          <cell r="G158">
            <v>49331.945246234704</v>
          </cell>
          <cell r="H158">
            <v>19460.425246234707</v>
          </cell>
        </row>
        <row r="159">
          <cell r="C159">
            <v>4008</v>
          </cell>
          <cell r="D159" t="str">
            <v>Newfield Secondary School</v>
          </cell>
          <cell r="E159" t="str">
            <v>Recoupment Academy</v>
          </cell>
          <cell r="F159">
            <v>1032</v>
          </cell>
          <cell r="G159">
            <v>71104.144544852257</v>
          </cell>
          <cell r="H159">
            <v>28049.104544852256</v>
          </cell>
        </row>
        <row r="160">
          <cell r="C160">
            <v>5400</v>
          </cell>
          <cell r="D160" t="str">
            <v>Notre Dame High School</v>
          </cell>
          <cell r="E160" t="str">
            <v>Recoupment Academy</v>
          </cell>
          <cell r="F160">
            <v>1066</v>
          </cell>
          <cell r="G160">
            <v>73446.722950399708</v>
          </cell>
          <cell r="H160">
            <v>28973.202950399715</v>
          </cell>
        </row>
        <row r="161">
          <cell r="C161">
            <v>4006</v>
          </cell>
          <cell r="D161" t="str">
            <v>Outwood Academy City</v>
          </cell>
          <cell r="E161" t="str">
            <v>Recoupment Academy</v>
          </cell>
          <cell r="F161">
            <v>1128</v>
          </cell>
          <cell r="G161">
            <v>77718.483572280369</v>
          </cell>
          <cell r="H161">
            <v>30658.323572280373</v>
          </cell>
        </row>
        <row r="162">
          <cell r="C162">
            <v>6907</v>
          </cell>
          <cell r="D162" t="str">
            <v>Parkwood E-Act Academy</v>
          </cell>
          <cell r="E162" t="str">
            <v>Recoupment Academy</v>
          </cell>
          <cell r="F162">
            <v>806</v>
          </cell>
          <cell r="G162">
            <v>55532.888084448561</v>
          </cell>
          <cell r="H162">
            <v>21906.568084448565</v>
          </cell>
        </row>
        <row r="163">
          <cell r="C163">
            <v>6905</v>
          </cell>
          <cell r="D163" t="str">
            <v>Sheffield Park Academy</v>
          </cell>
          <cell r="E163" t="str">
            <v>Recoupment Academy</v>
          </cell>
          <cell r="F163">
            <v>1010</v>
          </cell>
          <cell r="G163">
            <v>69588.358517733315</v>
          </cell>
          <cell r="H163">
            <v>27451.158517733315</v>
          </cell>
        </row>
        <row r="164">
          <cell r="C164">
            <v>6906</v>
          </cell>
          <cell r="D164" t="str">
            <v>Sheffield Springs Academy</v>
          </cell>
          <cell r="E164" t="str">
            <v>Recoupment Academy</v>
          </cell>
          <cell r="F164">
            <v>939</v>
          </cell>
          <cell r="G164">
            <v>64696.503612031265</v>
          </cell>
          <cell r="H164">
            <v>25521.423612031271</v>
          </cell>
        </row>
        <row r="165">
          <cell r="C165">
            <v>4229</v>
          </cell>
          <cell r="D165" t="str">
            <v>Silverdale School</v>
          </cell>
          <cell r="E165" t="str">
            <v>Recoupment Academy</v>
          </cell>
          <cell r="F165">
            <v>1015</v>
          </cell>
          <cell r="G165">
            <v>69932.855342078532</v>
          </cell>
          <cell r="H165">
            <v>27587.055342078529</v>
          </cell>
        </row>
        <row r="166">
          <cell r="C166">
            <v>4271</v>
          </cell>
          <cell r="D166" t="str">
            <v>Stocksbridge High School</v>
          </cell>
          <cell r="E166" t="str">
            <v>Recoupment Academy</v>
          </cell>
          <cell r="F166">
            <v>798</v>
          </cell>
          <cell r="G166">
            <v>54981.693165496225</v>
          </cell>
          <cell r="H166">
            <v>21689.133165496223</v>
          </cell>
        </row>
        <row r="167">
          <cell r="C167">
            <v>4234</v>
          </cell>
          <cell r="D167" t="str">
            <v>Tapton School</v>
          </cell>
          <cell r="E167" t="str">
            <v>Recoupment Academy</v>
          </cell>
          <cell r="F167">
            <v>1354</v>
          </cell>
          <cell r="G167">
            <v>93289.740032684058</v>
          </cell>
          <cell r="H167">
            <v>36800.860032684068</v>
          </cell>
        </row>
        <row r="168">
          <cell r="C168">
            <v>4276</v>
          </cell>
          <cell r="D168" t="str">
            <v>The Birley Academy</v>
          </cell>
          <cell r="E168" t="str">
            <v>Recoupment Academy</v>
          </cell>
          <cell r="F168">
            <v>1074</v>
          </cell>
          <cell r="G168">
            <v>73997.917869352052</v>
          </cell>
          <cell r="H168">
            <v>29190.63786935206</v>
          </cell>
        </row>
        <row r="169">
          <cell r="C169">
            <v>4004</v>
          </cell>
          <cell r="D169" t="str">
            <v>UTC Sheffield City Centre</v>
          </cell>
          <cell r="E169" t="str">
            <v>Recoupment Academy</v>
          </cell>
          <cell r="F169">
            <v>313</v>
          </cell>
          <cell r="G169">
            <v>21565.501204010423</v>
          </cell>
          <cell r="H169">
            <v>8507.1412040104224</v>
          </cell>
        </row>
        <row r="170">
          <cell r="C170">
            <v>4010</v>
          </cell>
          <cell r="D170" t="str">
            <v>UTC Sheffield Olympic Legacy Park</v>
          </cell>
          <cell r="E170" t="str">
            <v>Recoupment Academy</v>
          </cell>
          <cell r="F170">
            <v>302</v>
          </cell>
          <cell r="G170">
            <v>20807.608190450952</v>
          </cell>
          <cell r="H170">
            <v>8208.1681904509514</v>
          </cell>
        </row>
        <row r="171">
          <cell r="C171">
            <v>4013</v>
          </cell>
          <cell r="D171" t="str">
            <v>Westfield School</v>
          </cell>
          <cell r="E171" t="str">
            <v>Recoupment Academy</v>
          </cell>
          <cell r="F171">
            <v>1191</v>
          </cell>
          <cell r="G171">
            <v>82059.143559030068</v>
          </cell>
          <cell r="H171">
            <v>32370.623559030075</v>
          </cell>
        </row>
        <row r="172">
          <cell r="C172">
            <v>4016</v>
          </cell>
          <cell r="D172" t="str">
            <v>Yewlands Academy</v>
          </cell>
          <cell r="E172" t="str">
            <v>Recoupment Academy</v>
          </cell>
          <cell r="F172">
            <v>876</v>
          </cell>
          <cell r="G172">
            <v>60355.843625281566</v>
          </cell>
          <cell r="H172">
            <v>23809.123625281569</v>
          </cell>
        </row>
        <row r="174">
          <cell r="D174" t="str">
            <v>Total Secondary</v>
          </cell>
          <cell r="F174">
            <v>27571</v>
          </cell>
          <cell r="G174">
            <v>1899624.388804381</v>
          </cell>
          <cell r="H174">
            <v>749362.26880438149</v>
          </cell>
        </row>
        <row r="175">
          <cell r="F175">
            <v>0</v>
          </cell>
        </row>
        <row r="176">
          <cell r="D176" t="str">
            <v>Middle Deemed Secondary</v>
          </cell>
        </row>
        <row r="178">
          <cell r="C178">
            <v>4014</v>
          </cell>
          <cell r="D178" t="str">
            <v>Astrea Academy Sheffield</v>
          </cell>
          <cell r="F178">
            <v>891.5</v>
          </cell>
          <cell r="G178">
            <v>67970.18378075173</v>
          </cell>
          <cell r="H178">
            <v>25210.403780751731</v>
          </cell>
        </row>
        <row r="179">
          <cell r="C179">
            <v>4225</v>
          </cell>
          <cell r="D179" t="str">
            <v>Hinde House 3-16 School</v>
          </cell>
          <cell r="F179">
            <v>1282</v>
          </cell>
          <cell r="G179">
            <v>102590.78576211297</v>
          </cell>
          <cell r="H179">
            <v>36978.945762112977</v>
          </cell>
        </row>
        <row r="180">
          <cell r="C180">
            <v>4005</v>
          </cell>
          <cell r="D180" t="str">
            <v>Oasis Academy Don Valley</v>
          </cell>
          <cell r="F180">
            <v>997.75</v>
          </cell>
          <cell r="G180">
            <v>82713.891298087532</v>
          </cell>
          <cell r="H180">
            <v>29209.461298087539</v>
          </cell>
        </row>
        <row r="182">
          <cell r="D182" t="str">
            <v>Total Middle Deemed Secondary</v>
          </cell>
          <cell r="F182">
            <v>3171.25</v>
          </cell>
          <cell r="G182">
            <v>253274.86084095226</v>
          </cell>
          <cell r="H182">
            <v>91398.810840952239</v>
          </cell>
        </row>
        <row r="184">
          <cell r="D184" t="str">
            <v>Total All Schools</v>
          </cell>
          <cell r="F184">
            <v>73809.25</v>
          </cell>
          <cell r="G184">
            <v>6558625.9964604042</v>
          </cell>
          <cell r="H184">
            <v>2226629.7864604029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7">
          <cell r="C187">
            <v>4998</v>
          </cell>
          <cell r="D187" t="str">
            <v>Astrea Academy - Woodside x 7/12</v>
          </cell>
          <cell r="E187" t="str">
            <v>Recoupment Academy</v>
          </cell>
          <cell r="F187">
            <v>196</v>
          </cell>
          <cell r="G187">
            <v>20050.675514332401</v>
          </cell>
          <cell r="H187">
            <v>6307.1555143324058</v>
          </cell>
        </row>
        <row r="188">
          <cell r="C188">
            <v>4998</v>
          </cell>
          <cell r="D188" t="str">
            <v>Astrea Academy - Woodside x 7/12</v>
          </cell>
          <cell r="E188" t="str">
            <v>Recoupment Academy</v>
          </cell>
          <cell r="F188">
            <v>695.5</v>
          </cell>
          <cell r="G188">
            <v>47919.508266419325</v>
          </cell>
          <cell r="H188">
            <v>18903.248266419327</v>
          </cell>
        </row>
        <row r="189">
          <cell r="F189">
            <v>891.5</v>
          </cell>
          <cell r="G189">
            <v>67970.18378075173</v>
          </cell>
          <cell r="H189">
            <v>25210.403780751731</v>
          </cell>
        </row>
        <row r="191">
          <cell r="C191">
            <v>4225</v>
          </cell>
          <cell r="D191" t="str">
            <v>Hinde House - Primary</v>
          </cell>
          <cell r="E191" t="str">
            <v>Recoupment Academy</v>
          </cell>
          <cell r="F191">
            <v>427</v>
          </cell>
          <cell r="G191">
            <v>43681.828799081304</v>
          </cell>
          <cell r="H191">
            <v>13740.588799081312</v>
          </cell>
        </row>
        <row r="192">
          <cell r="C192">
            <v>4225</v>
          </cell>
          <cell r="D192" t="str">
            <v>Hinde House - Secondary</v>
          </cell>
          <cell r="E192" t="str">
            <v>Recoupment Academy</v>
          </cell>
          <cell r="F192">
            <v>855</v>
          </cell>
          <cell r="G192">
            <v>58908.956963031669</v>
          </cell>
          <cell r="H192">
            <v>23238.356963031667</v>
          </cell>
        </row>
        <row r="193">
          <cell r="F193">
            <v>1282</v>
          </cell>
          <cell r="G193">
            <v>102590.78576211297</v>
          </cell>
          <cell r="H193">
            <v>36978.945762112977</v>
          </cell>
        </row>
        <row r="195">
          <cell r="C195">
            <v>4005</v>
          </cell>
          <cell r="D195" t="str">
            <v>Oasis Academy Don Valley</v>
          </cell>
          <cell r="E195" t="str">
            <v>Recoupment Academy</v>
          </cell>
          <cell r="F195">
            <v>418.25</v>
          </cell>
          <cell r="G195">
            <v>42786.709356477179</v>
          </cell>
          <cell r="H195">
            <v>13459.019356477187</v>
          </cell>
        </row>
        <row r="196">
          <cell r="C196">
            <v>4005</v>
          </cell>
          <cell r="D196" t="str">
            <v>Oasis Academy Don Valley</v>
          </cell>
          <cell r="E196" t="str">
            <v>Recoupment Academy</v>
          </cell>
          <cell r="F196">
            <v>579.5</v>
          </cell>
          <cell r="G196">
            <v>39927.181941610354</v>
          </cell>
          <cell r="H196">
            <v>15750.441941610352</v>
          </cell>
        </row>
        <row r="197">
          <cell r="F197">
            <v>997.75</v>
          </cell>
          <cell r="G197">
            <v>82713.891298087532</v>
          </cell>
          <cell r="H197">
            <v>29209.461298087539</v>
          </cell>
        </row>
        <row r="199">
          <cell r="F199" t="str">
            <v>Special Swimming</v>
          </cell>
          <cell r="G199">
            <v>8.3000000000000007</v>
          </cell>
        </row>
        <row r="200">
          <cell r="D200" t="str">
            <v>Special</v>
          </cell>
          <cell r="E200" t="str">
            <v>Pri Places</v>
          </cell>
          <cell r="G200">
            <v>115.66936486904287</v>
          </cell>
          <cell r="H200">
            <v>22.529364869042887</v>
          </cell>
        </row>
        <row r="201">
          <cell r="G201">
            <v>1.0000000000000002</v>
          </cell>
          <cell r="H201">
            <v>0.19477382705913454</v>
          </cell>
        </row>
        <row r="202">
          <cell r="C202">
            <v>7023</v>
          </cell>
          <cell r="D202" t="str">
            <v>Archdale (Norfolk Park) NIJ</v>
          </cell>
          <cell r="E202">
            <v>94</v>
          </cell>
          <cell r="F202">
            <v>94</v>
          </cell>
          <cell r="G202">
            <v>10872.920297690031</v>
          </cell>
          <cell r="H202">
            <v>2117.7602976900312</v>
          </cell>
        </row>
        <row r="203">
          <cell r="C203">
            <v>7038</v>
          </cell>
          <cell r="D203" t="str">
            <v>Becton</v>
          </cell>
          <cell r="E203">
            <v>0</v>
          </cell>
          <cell r="F203">
            <v>126</v>
          </cell>
          <cell r="G203">
            <v>13528.539973499401</v>
          </cell>
          <cell r="H203">
            <v>2838.6999734994038</v>
          </cell>
        </row>
        <row r="204">
          <cell r="C204">
            <v>7010</v>
          </cell>
          <cell r="D204" t="str">
            <v>Bents Green</v>
          </cell>
          <cell r="E204">
            <v>0</v>
          </cell>
          <cell r="F204">
            <v>306</v>
          </cell>
          <cell r="G204">
            <v>32855.02564992712</v>
          </cell>
          <cell r="H204">
            <v>6893.9856499271236</v>
          </cell>
        </row>
        <row r="205">
          <cell r="C205">
            <v>7040</v>
          </cell>
          <cell r="D205" t="str">
            <v>Heritage Park Community</v>
          </cell>
          <cell r="E205">
            <v>17</v>
          </cell>
          <cell r="F205">
            <v>107</v>
          </cell>
          <cell r="G205">
            <v>11629.622040987588</v>
          </cell>
          <cell r="H205">
            <v>2410.6420409875891</v>
          </cell>
        </row>
        <row r="206">
          <cell r="C206">
            <v>7041</v>
          </cell>
          <cell r="D206" t="str">
            <v>Holgate Meadows Community</v>
          </cell>
          <cell r="E206">
            <v>21</v>
          </cell>
          <cell r="F206">
            <v>99</v>
          </cell>
          <cell r="G206">
            <v>10803.867122035243</v>
          </cell>
          <cell r="H206">
            <v>2230.4071220352457</v>
          </cell>
        </row>
        <row r="207">
          <cell r="C207">
            <v>7036</v>
          </cell>
          <cell r="D207" t="str">
            <v>Mossbrook IJ</v>
          </cell>
          <cell r="E207">
            <v>160</v>
          </cell>
          <cell r="F207">
            <v>160</v>
          </cell>
          <cell r="G207">
            <v>18507.09837904686</v>
          </cell>
          <cell r="H207">
            <v>3604.6983790468621</v>
          </cell>
        </row>
        <row r="208">
          <cell r="C208">
            <v>7043</v>
          </cell>
          <cell r="D208" t="str">
            <v>Seven Hills</v>
          </cell>
          <cell r="E208">
            <v>0</v>
          </cell>
          <cell r="F208">
            <v>204</v>
          </cell>
          <cell r="G208">
            <v>21903.350433284744</v>
          </cell>
          <cell r="H208">
            <v>4595.9904332847491</v>
          </cell>
        </row>
        <row r="209">
          <cell r="C209">
            <v>7024</v>
          </cell>
          <cell r="D209" t="str">
            <v>Talbot Sec</v>
          </cell>
          <cell r="E209">
            <v>0</v>
          </cell>
          <cell r="F209">
            <v>210</v>
          </cell>
          <cell r="G209">
            <v>22547.566622499002</v>
          </cell>
          <cell r="H209">
            <v>4731.1666224990058</v>
          </cell>
        </row>
        <row r="210">
          <cell r="C210">
            <v>7013</v>
          </cell>
          <cell r="D210" t="str">
            <v>The Rowan IJ</v>
          </cell>
          <cell r="E210">
            <v>98</v>
          </cell>
          <cell r="F210">
            <v>98</v>
          </cell>
          <cell r="G210">
            <v>11335.597757166201</v>
          </cell>
          <cell r="H210">
            <v>2207.8777571662031</v>
          </cell>
        </row>
        <row r="211">
          <cell r="C211">
            <v>7026</v>
          </cell>
          <cell r="D211" t="str">
            <v>Woolley  Wood NIJ</v>
          </cell>
          <cell r="E211">
            <v>100</v>
          </cell>
          <cell r="F211">
            <v>100</v>
          </cell>
          <cell r="G211">
            <v>11566.936486904287</v>
          </cell>
          <cell r="H211">
            <v>2252.9364869042888</v>
          </cell>
        </row>
        <row r="213">
          <cell r="D213" t="str">
            <v>Total Special</v>
          </cell>
          <cell r="E213">
            <v>490</v>
          </cell>
          <cell r="F213">
            <v>1504</v>
          </cell>
          <cell r="G213">
            <v>165550.52476304045</v>
          </cell>
          <cell r="H213">
            <v>33884.164763040499</v>
          </cell>
        </row>
        <row r="214">
          <cell r="F214">
            <v>23</v>
          </cell>
          <cell r="G214">
            <v>0</v>
          </cell>
          <cell r="H214">
            <v>0</v>
          </cell>
        </row>
        <row r="215">
          <cell r="D215" t="str">
            <v>TOTAL ALL SCHOOLS</v>
          </cell>
          <cell r="F215">
            <v>75313.25</v>
          </cell>
          <cell r="G215">
            <v>6724176.5212234445</v>
          </cell>
          <cell r="H215">
            <v>2260513.9512234433</v>
          </cell>
        </row>
        <row r="216">
          <cell r="G216">
            <v>0</v>
          </cell>
        </row>
        <row r="218">
          <cell r="G218" t="str">
            <v>Add Deleg</v>
          </cell>
          <cell r="H218" t="str">
            <v>De-deleg</v>
          </cell>
        </row>
        <row r="219">
          <cell r="D219" t="str">
            <v>Maintained</v>
          </cell>
          <cell r="E219">
            <v>0</v>
          </cell>
          <cell r="F219">
            <v>22641</v>
          </cell>
          <cell r="G219">
            <v>2289304.3799999994</v>
          </cell>
          <cell r="H219">
            <v>709600.3</v>
          </cell>
        </row>
        <row r="220">
          <cell r="D220" t="str">
            <v>Academies</v>
          </cell>
          <cell r="F220">
            <v>52672.25</v>
          </cell>
          <cell r="G220">
            <v>4434872.1412234446</v>
          </cell>
          <cell r="H220">
            <v>1550913.6512234432</v>
          </cell>
        </row>
        <row r="221">
          <cell r="D221" t="str">
            <v>Total</v>
          </cell>
          <cell r="F221">
            <v>75313.25</v>
          </cell>
          <cell r="G221">
            <v>6724176.5212234445</v>
          </cell>
          <cell r="H221">
            <v>2260513.9512234433</v>
          </cell>
        </row>
        <row r="227">
          <cell r="D227" t="str">
            <v>Primary</v>
          </cell>
          <cell r="F227">
            <v>44108.25</v>
          </cell>
          <cell r="G227">
            <v>4512245.960484962</v>
          </cell>
          <cell r="H227">
            <v>1419375.4704849601</v>
          </cell>
        </row>
        <row r="228">
          <cell r="D228" t="str">
            <v>Secondary</v>
          </cell>
          <cell r="F228">
            <v>29701</v>
          </cell>
          <cell r="G228">
            <v>2046380.0359754425</v>
          </cell>
          <cell r="H228">
            <v>807254.31597544276</v>
          </cell>
        </row>
        <row r="229">
          <cell r="D229" t="str">
            <v>Special</v>
          </cell>
          <cell r="F229">
            <v>1504</v>
          </cell>
          <cell r="G229">
            <v>165550.52476304045</v>
          </cell>
          <cell r="H229">
            <v>33884.164763040499</v>
          </cell>
        </row>
        <row r="230">
          <cell r="F230">
            <v>75313.25</v>
          </cell>
          <cell r="G230">
            <v>6724176.5212234445</v>
          </cell>
          <cell r="H230">
            <v>2260513.9512234433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2">
          <cell r="D232" t="str">
            <v>Primary</v>
          </cell>
        </row>
        <row r="233">
          <cell r="D233" t="str">
            <v>Maintained</v>
          </cell>
          <cell r="F233">
            <v>20128</v>
          </cell>
          <cell r="G233">
            <v>2059081.6160840942</v>
          </cell>
          <cell r="H233">
            <v>647706.25608409522</v>
          </cell>
        </row>
        <row r="234">
          <cell r="D234" t="str">
            <v>Academies</v>
          </cell>
          <cell r="F234">
            <v>23980.25</v>
          </cell>
          <cell r="G234">
            <v>2453164.344400866</v>
          </cell>
          <cell r="H234">
            <v>771669.2144008656</v>
          </cell>
        </row>
        <row r="235">
          <cell r="D235" t="str">
            <v>Total</v>
          </cell>
          <cell r="F235">
            <v>44108.25</v>
          </cell>
          <cell r="G235">
            <v>4512245.9604849601</v>
          </cell>
          <cell r="H235">
            <v>1419375.4704849608</v>
          </cell>
        </row>
        <row r="236">
          <cell r="F236">
            <v>0</v>
          </cell>
          <cell r="G236">
            <v>-2.2118911147117615E-9</v>
          </cell>
          <cell r="H236">
            <v>6.0936145018786192E-10</v>
          </cell>
        </row>
        <row r="237">
          <cell r="D237" t="str">
            <v>Secondary</v>
          </cell>
        </row>
        <row r="238">
          <cell r="D238" t="str">
            <v>Maintained</v>
          </cell>
          <cell r="F238">
            <v>1135</v>
          </cell>
          <cell r="G238">
            <v>78200.779126363675</v>
          </cell>
          <cell r="H238">
            <v>30848.579126363675</v>
          </cell>
        </row>
        <row r="239">
          <cell r="D239" t="str">
            <v>Academies</v>
          </cell>
          <cell r="F239">
            <v>28566</v>
          </cell>
          <cell r="G239">
            <v>1968179.2568490787</v>
          </cell>
          <cell r="H239">
            <v>776405.73684907914</v>
          </cell>
        </row>
        <row r="240">
          <cell r="D240" t="str">
            <v>Total</v>
          </cell>
          <cell r="F240">
            <v>29701</v>
          </cell>
          <cell r="G240">
            <v>2046380.0359754423</v>
          </cell>
          <cell r="H240">
            <v>807254.31597544276</v>
          </cell>
        </row>
        <row r="241">
          <cell r="F241">
            <v>0</v>
          </cell>
          <cell r="G241">
            <v>-9.4587448984384537E-11</v>
          </cell>
          <cell r="H241">
            <v>-6.5483618527650833E-11</v>
          </cell>
        </row>
        <row r="243">
          <cell r="D243" t="str">
            <v>Primary</v>
          </cell>
        </row>
        <row r="244">
          <cell r="D244" t="str">
            <v>Maintained</v>
          </cell>
          <cell r="F244">
            <v>20128</v>
          </cell>
          <cell r="G244">
            <v>2059081.6160840942</v>
          </cell>
          <cell r="H244">
            <v>647706.25608409522</v>
          </cell>
        </row>
        <row r="245">
          <cell r="D245" t="str">
            <v>Academies</v>
          </cell>
          <cell r="F245">
            <v>23980.25</v>
          </cell>
          <cell r="G245">
            <v>2453164.344400866</v>
          </cell>
          <cell r="H245">
            <v>771669.2144008656</v>
          </cell>
        </row>
        <row r="246">
          <cell r="D246" t="str">
            <v>Total</v>
          </cell>
          <cell r="F246">
            <v>44108.25</v>
          </cell>
          <cell r="G246">
            <v>4512245.9604849601</v>
          </cell>
          <cell r="H246">
            <v>1419375.4704849608</v>
          </cell>
        </row>
        <row r="247">
          <cell r="F247">
            <v>0</v>
          </cell>
          <cell r="G247">
            <v>-2.2118911147117615E-9</v>
          </cell>
          <cell r="H247">
            <v>6.0936145018786192E-10</v>
          </cell>
        </row>
        <row r="248">
          <cell r="D248" t="str">
            <v>Secondary</v>
          </cell>
        </row>
        <row r="249">
          <cell r="D249" t="str">
            <v>Maintained</v>
          </cell>
          <cell r="F249">
            <v>1135</v>
          </cell>
          <cell r="G249">
            <v>78200.779126363675</v>
          </cell>
          <cell r="H249">
            <v>30848.579126363675</v>
          </cell>
        </row>
        <row r="250">
          <cell r="D250" t="str">
            <v>Academies</v>
          </cell>
          <cell r="F250">
            <v>28566</v>
          </cell>
          <cell r="G250">
            <v>1968179.2568490787</v>
          </cell>
          <cell r="H250">
            <v>776405.73684907914</v>
          </cell>
        </row>
        <row r="251">
          <cell r="D251" t="str">
            <v>Total</v>
          </cell>
          <cell r="F251">
            <v>29701</v>
          </cell>
          <cell r="G251">
            <v>2046380.0359754423</v>
          </cell>
          <cell r="H251">
            <v>807254.31597544276</v>
          </cell>
        </row>
        <row r="253">
          <cell r="D253" t="str">
            <v>Total All Schools Excl. Special</v>
          </cell>
          <cell r="F253">
            <v>73809.25</v>
          </cell>
          <cell r="G253">
            <v>6558625.9964604024</v>
          </cell>
          <cell r="H253">
            <v>2226629.7864604034</v>
          </cell>
        </row>
        <row r="254">
          <cell r="F254">
            <v>73809.25</v>
          </cell>
          <cell r="G254">
            <v>6558625.9964604042</v>
          </cell>
          <cell r="H254">
            <v>2226629.7864604029</v>
          </cell>
        </row>
        <row r="255">
          <cell r="G255">
            <v>0</v>
          </cell>
          <cell r="H255">
            <v>0</v>
          </cell>
        </row>
        <row r="256">
          <cell r="D256" t="str">
            <v>Maintained</v>
          </cell>
          <cell r="F256">
            <v>22641</v>
          </cell>
          <cell r="G256">
            <v>2289304.3799999994</v>
          </cell>
          <cell r="H256">
            <v>709600.3</v>
          </cell>
        </row>
        <row r="257">
          <cell r="D257" t="str">
            <v>Academies</v>
          </cell>
          <cell r="F257">
            <v>52672.25</v>
          </cell>
          <cell r="G257">
            <v>4434872.1412234446</v>
          </cell>
          <cell r="H257">
            <v>1550913.6512234432</v>
          </cell>
        </row>
        <row r="258">
          <cell r="D258" t="str">
            <v>Total</v>
          </cell>
          <cell r="F258">
            <v>75313.25</v>
          </cell>
          <cell r="G258">
            <v>6724176.5212234445</v>
          </cell>
          <cell r="H258">
            <v>2260513.9512234433</v>
          </cell>
        </row>
        <row r="259">
          <cell r="F259">
            <v>0</v>
          </cell>
          <cell r="G259">
            <v>0</v>
          </cell>
          <cell r="H259">
            <v>0</v>
          </cell>
        </row>
        <row r="261">
          <cell r="H261">
            <v>675716.13523695956</v>
          </cell>
        </row>
      </sheetData>
      <sheetData sheetId="14"/>
      <sheetData sheetId="15"/>
      <sheetData sheetId="16"/>
      <sheetData sheetId="17">
        <row r="1">
          <cell r="F1" t="str">
            <v>Secondary AWPU Funding</v>
          </cell>
          <cell r="G1" t="str">
            <v>2022-23</v>
          </cell>
        </row>
        <row r="3">
          <cell r="K3" t="str">
            <v>KS3</v>
          </cell>
          <cell r="L3" t="str">
            <v>KS4</v>
          </cell>
        </row>
        <row r="4">
          <cell r="E4" t="str">
            <v>DfE</v>
          </cell>
          <cell r="F4" t="str">
            <v>School</v>
          </cell>
          <cell r="G4" t="str">
            <v>KS3</v>
          </cell>
          <cell r="H4" t="str">
            <v>KS4</v>
          </cell>
          <cell r="I4" t="str">
            <v>Total</v>
          </cell>
          <cell r="J4" t="str">
            <v>check</v>
          </cell>
          <cell r="K4">
            <v>4536</v>
          </cell>
          <cell r="L4">
            <v>5112</v>
          </cell>
        </row>
        <row r="6">
          <cell r="E6">
            <v>5401</v>
          </cell>
          <cell r="F6" t="str">
            <v>All Saints' Catholic High School</v>
          </cell>
          <cell r="G6">
            <v>620</v>
          </cell>
          <cell r="H6">
            <v>403</v>
          </cell>
          <cell r="I6">
            <v>1023</v>
          </cell>
          <cell r="J6">
            <v>0</v>
          </cell>
          <cell r="K6">
            <v>2812320</v>
          </cell>
          <cell r="L6">
            <v>2060136</v>
          </cell>
        </row>
        <row r="7">
          <cell r="E7">
            <v>4017</v>
          </cell>
          <cell r="F7" t="str">
            <v>Bradfield School</v>
          </cell>
          <cell r="G7">
            <v>680</v>
          </cell>
          <cell r="H7">
            <v>401</v>
          </cell>
          <cell r="I7">
            <v>1081</v>
          </cell>
          <cell r="J7">
            <v>0</v>
          </cell>
          <cell r="K7">
            <v>3084480</v>
          </cell>
          <cell r="L7">
            <v>2049912</v>
          </cell>
        </row>
        <row r="8">
          <cell r="E8">
            <v>4000</v>
          </cell>
          <cell r="F8" t="str">
            <v>Chaucer School</v>
          </cell>
          <cell r="G8">
            <v>487</v>
          </cell>
          <cell r="H8">
            <v>333</v>
          </cell>
          <cell r="I8">
            <v>820</v>
          </cell>
          <cell r="J8">
            <v>0</v>
          </cell>
          <cell r="K8">
            <v>2209032</v>
          </cell>
          <cell r="L8">
            <v>1702296</v>
          </cell>
        </row>
        <row r="9">
          <cell r="E9">
            <v>4012</v>
          </cell>
          <cell r="F9" t="str">
            <v>Ecclesfield School</v>
          </cell>
          <cell r="G9">
            <v>1021</v>
          </cell>
          <cell r="H9">
            <v>655</v>
          </cell>
          <cell r="I9">
            <v>1676</v>
          </cell>
          <cell r="J9">
            <v>0</v>
          </cell>
          <cell r="K9">
            <v>4631256</v>
          </cell>
          <cell r="L9">
            <v>3348360</v>
          </cell>
        </row>
        <row r="10">
          <cell r="E10">
            <v>4280</v>
          </cell>
          <cell r="F10" t="str">
            <v>Fir Vale School</v>
          </cell>
          <cell r="G10">
            <v>589</v>
          </cell>
          <cell r="H10">
            <v>397</v>
          </cell>
          <cell r="I10">
            <v>986</v>
          </cell>
          <cell r="J10">
            <v>0</v>
          </cell>
          <cell r="K10">
            <v>2671704</v>
          </cell>
          <cell r="L10">
            <v>2029464</v>
          </cell>
        </row>
        <row r="11">
          <cell r="E11">
            <v>4003</v>
          </cell>
          <cell r="F11" t="str">
            <v>Firth Park Academy</v>
          </cell>
          <cell r="G11">
            <v>702</v>
          </cell>
          <cell r="H11">
            <v>440</v>
          </cell>
          <cell r="I11">
            <v>1142</v>
          </cell>
          <cell r="J11">
            <v>0</v>
          </cell>
          <cell r="K11">
            <v>3184272</v>
          </cell>
          <cell r="L11">
            <v>2249280</v>
          </cell>
        </row>
        <row r="12">
          <cell r="E12">
            <v>4007</v>
          </cell>
          <cell r="F12" t="str">
            <v>Forge Valley School</v>
          </cell>
          <cell r="G12">
            <v>739</v>
          </cell>
          <cell r="H12">
            <v>471</v>
          </cell>
          <cell r="I12">
            <v>1210</v>
          </cell>
          <cell r="J12">
            <v>0</v>
          </cell>
          <cell r="K12">
            <v>3352104</v>
          </cell>
          <cell r="L12">
            <v>2407752</v>
          </cell>
        </row>
        <row r="13">
          <cell r="E13">
            <v>4278</v>
          </cell>
          <cell r="F13" t="str">
            <v>Handsworth Grange Community Sports College</v>
          </cell>
          <cell r="G13">
            <v>612</v>
          </cell>
          <cell r="H13">
            <v>403</v>
          </cell>
          <cell r="I13">
            <v>1015</v>
          </cell>
          <cell r="J13">
            <v>0</v>
          </cell>
          <cell r="K13">
            <v>2776032</v>
          </cell>
          <cell r="L13">
            <v>2060136</v>
          </cell>
        </row>
        <row r="14">
          <cell r="E14">
            <v>4257</v>
          </cell>
          <cell r="F14" t="str">
            <v>High Storrs School</v>
          </cell>
          <cell r="G14">
            <v>727</v>
          </cell>
          <cell r="H14">
            <v>479</v>
          </cell>
          <cell r="I14">
            <v>1206</v>
          </cell>
          <cell r="J14">
            <v>0</v>
          </cell>
          <cell r="K14">
            <v>3297672</v>
          </cell>
          <cell r="L14">
            <v>2448648</v>
          </cell>
        </row>
        <row r="15">
          <cell r="E15">
            <v>4230</v>
          </cell>
          <cell r="F15" t="str">
            <v>King Ecgbert School</v>
          </cell>
          <cell r="G15">
            <v>628</v>
          </cell>
          <cell r="H15">
            <v>406</v>
          </cell>
          <cell r="I15">
            <v>1034</v>
          </cell>
          <cell r="J15">
            <v>0</v>
          </cell>
          <cell r="K15">
            <v>2848608</v>
          </cell>
          <cell r="L15">
            <v>2075472</v>
          </cell>
        </row>
        <row r="16">
          <cell r="E16">
            <v>4259</v>
          </cell>
          <cell r="F16" t="str">
            <v>King Edward VII School</v>
          </cell>
          <cell r="G16">
            <v>686</v>
          </cell>
          <cell r="H16">
            <v>449</v>
          </cell>
          <cell r="I16">
            <v>1135</v>
          </cell>
          <cell r="J16">
            <v>0</v>
          </cell>
          <cell r="K16">
            <v>3111696</v>
          </cell>
          <cell r="L16">
            <v>2295288</v>
          </cell>
        </row>
        <row r="17">
          <cell r="E17">
            <v>4279</v>
          </cell>
          <cell r="F17" t="str">
            <v>Meadowhead School Academy Trust</v>
          </cell>
          <cell r="G17">
            <v>971</v>
          </cell>
          <cell r="H17">
            <v>652</v>
          </cell>
          <cell r="I17">
            <v>1623</v>
          </cell>
          <cell r="J17">
            <v>0</v>
          </cell>
          <cell r="K17">
            <v>4404456</v>
          </cell>
          <cell r="L17">
            <v>3333024</v>
          </cell>
        </row>
        <row r="18">
          <cell r="E18">
            <v>4015</v>
          </cell>
          <cell r="F18" t="str">
            <v>Mercia School</v>
          </cell>
          <cell r="G18">
            <v>521.33333333333326</v>
          </cell>
          <cell r="H18">
            <v>194.66666666666669</v>
          </cell>
          <cell r="I18">
            <v>716</v>
          </cell>
          <cell r="J18">
            <v>0</v>
          </cell>
          <cell r="K18">
            <v>2364767.9999999995</v>
          </cell>
          <cell r="L18">
            <v>995136.00000000012</v>
          </cell>
        </row>
        <row r="19">
          <cell r="E19">
            <v>4008</v>
          </cell>
          <cell r="F19" t="str">
            <v>Newfield Secondary School</v>
          </cell>
          <cell r="G19">
            <v>622</v>
          </cell>
          <cell r="H19">
            <v>410</v>
          </cell>
          <cell r="I19">
            <v>1032</v>
          </cell>
          <cell r="J19">
            <v>0</v>
          </cell>
          <cell r="K19">
            <v>2821392</v>
          </cell>
          <cell r="L19">
            <v>2095920</v>
          </cell>
        </row>
        <row r="20">
          <cell r="E20">
            <v>5400</v>
          </cell>
          <cell r="F20" t="str">
            <v>Notre Dame High School</v>
          </cell>
          <cell r="G20">
            <v>644</v>
          </cell>
          <cell r="H20">
            <v>422</v>
          </cell>
          <cell r="I20">
            <v>1066</v>
          </cell>
          <cell r="J20">
            <v>0</v>
          </cell>
          <cell r="K20">
            <v>2921184</v>
          </cell>
          <cell r="L20">
            <v>2157264</v>
          </cell>
        </row>
        <row r="21">
          <cell r="E21">
            <v>4006</v>
          </cell>
          <cell r="F21" t="str">
            <v>Outwood Academy City</v>
          </cell>
          <cell r="G21">
            <v>681</v>
          </cell>
          <cell r="H21">
            <v>447</v>
          </cell>
          <cell r="I21">
            <v>1128</v>
          </cell>
          <cell r="J21">
            <v>0</v>
          </cell>
          <cell r="K21">
            <v>3089016</v>
          </cell>
          <cell r="L21">
            <v>2285064</v>
          </cell>
        </row>
        <row r="22">
          <cell r="E22">
            <v>6907</v>
          </cell>
          <cell r="F22" t="str">
            <v>Parkwood E-Act Academy</v>
          </cell>
          <cell r="G22">
            <v>459</v>
          </cell>
          <cell r="H22">
            <v>347</v>
          </cell>
          <cell r="I22">
            <v>806</v>
          </cell>
          <cell r="J22">
            <v>0</v>
          </cell>
          <cell r="K22">
            <v>2082024</v>
          </cell>
          <cell r="L22">
            <v>1773864</v>
          </cell>
        </row>
        <row r="23">
          <cell r="E23">
            <v>6905</v>
          </cell>
          <cell r="F23" t="str">
            <v>Sheffield Park Academy</v>
          </cell>
          <cell r="G23">
            <v>610</v>
          </cell>
          <cell r="H23">
            <v>400</v>
          </cell>
          <cell r="I23">
            <v>1010</v>
          </cell>
          <cell r="J23">
            <v>0</v>
          </cell>
          <cell r="K23">
            <v>2766960</v>
          </cell>
          <cell r="L23">
            <v>2044800</v>
          </cell>
        </row>
        <row r="24">
          <cell r="E24">
            <v>6906</v>
          </cell>
          <cell r="F24" t="str">
            <v>Sheffield Springs Academy</v>
          </cell>
          <cell r="G24">
            <v>607</v>
          </cell>
          <cell r="H24">
            <v>332</v>
          </cell>
          <cell r="I24">
            <v>939</v>
          </cell>
          <cell r="J24">
            <v>0</v>
          </cell>
          <cell r="K24">
            <v>2753352</v>
          </cell>
          <cell r="L24">
            <v>1697184</v>
          </cell>
        </row>
        <row r="25">
          <cell r="E25">
            <v>4229</v>
          </cell>
          <cell r="F25" t="str">
            <v>Silverdale School</v>
          </cell>
          <cell r="G25">
            <v>599</v>
          </cell>
          <cell r="H25">
            <v>416</v>
          </cell>
          <cell r="I25">
            <v>1015</v>
          </cell>
          <cell r="J25">
            <v>0</v>
          </cell>
          <cell r="K25">
            <v>2717064</v>
          </cell>
          <cell r="L25">
            <v>2126592</v>
          </cell>
        </row>
        <row r="26">
          <cell r="E26">
            <v>4271</v>
          </cell>
          <cell r="F26" t="str">
            <v>Stocksbridge High School</v>
          </cell>
          <cell r="G26">
            <v>492</v>
          </cell>
          <cell r="H26">
            <v>306</v>
          </cell>
          <cell r="I26">
            <v>798</v>
          </cell>
          <cell r="J26">
            <v>0</v>
          </cell>
          <cell r="K26">
            <v>2231712</v>
          </cell>
          <cell r="L26">
            <v>1564272</v>
          </cell>
        </row>
        <row r="27">
          <cell r="E27">
            <v>4234</v>
          </cell>
          <cell r="F27" t="str">
            <v>Tapton School</v>
          </cell>
          <cell r="G27">
            <v>826</v>
          </cell>
          <cell r="H27">
            <v>528</v>
          </cell>
          <cell r="I27">
            <v>1354</v>
          </cell>
          <cell r="J27">
            <v>0</v>
          </cell>
          <cell r="K27">
            <v>3746736</v>
          </cell>
          <cell r="L27">
            <v>2699136</v>
          </cell>
        </row>
        <row r="28">
          <cell r="E28">
            <v>4276</v>
          </cell>
          <cell r="F28" t="str">
            <v>The Birley Academy</v>
          </cell>
          <cell r="G28">
            <v>652</v>
          </cell>
          <cell r="H28">
            <v>422</v>
          </cell>
          <cell r="I28">
            <v>1074</v>
          </cell>
          <cell r="J28">
            <v>0</v>
          </cell>
          <cell r="K28">
            <v>2957472</v>
          </cell>
          <cell r="L28">
            <v>2157264</v>
          </cell>
        </row>
        <row r="29">
          <cell r="E29">
            <v>4004</v>
          </cell>
          <cell r="F29" t="str">
            <v>UTC Sheffield City Centre</v>
          </cell>
          <cell r="G29">
            <v>111</v>
          </cell>
          <cell r="H29">
            <v>202</v>
          </cell>
          <cell r="I29">
            <v>313</v>
          </cell>
          <cell r="J29">
            <v>0</v>
          </cell>
          <cell r="K29">
            <v>503496</v>
          </cell>
          <cell r="L29">
            <v>1032624</v>
          </cell>
        </row>
        <row r="30">
          <cell r="E30">
            <v>4010</v>
          </cell>
          <cell r="F30" t="str">
            <v>UTC Sheffield Olympic Legacy Park</v>
          </cell>
          <cell r="G30">
            <v>99</v>
          </cell>
          <cell r="H30">
            <v>203</v>
          </cell>
          <cell r="I30">
            <v>302</v>
          </cell>
          <cell r="J30">
            <v>0</v>
          </cell>
          <cell r="K30">
            <v>449064</v>
          </cell>
          <cell r="L30">
            <v>1037736</v>
          </cell>
        </row>
        <row r="31">
          <cell r="E31">
            <v>4013</v>
          </cell>
          <cell r="F31" t="str">
            <v>Westfield School</v>
          </cell>
          <cell r="G31">
            <v>758</v>
          </cell>
          <cell r="H31">
            <v>433</v>
          </cell>
          <cell r="I31">
            <v>1191</v>
          </cell>
          <cell r="J31">
            <v>0</v>
          </cell>
          <cell r="K31">
            <v>3438288</v>
          </cell>
          <cell r="L31">
            <v>2213496</v>
          </cell>
        </row>
        <row r="32">
          <cell r="E32">
            <v>4016</v>
          </cell>
          <cell r="F32" t="str">
            <v>Yewlands Academy</v>
          </cell>
          <cell r="G32">
            <v>563</v>
          </cell>
          <cell r="H32">
            <v>313</v>
          </cell>
          <cell r="I32">
            <v>876</v>
          </cell>
          <cell r="J32">
            <v>0</v>
          </cell>
          <cell r="K32">
            <v>2553768</v>
          </cell>
          <cell r="L32">
            <v>1600056</v>
          </cell>
        </row>
        <row r="34">
          <cell r="F34" t="str">
            <v>Total Secondary</v>
          </cell>
          <cell r="G34">
            <v>16706.333333333336</v>
          </cell>
          <cell r="H34">
            <v>10864.666666666668</v>
          </cell>
          <cell r="I34">
            <v>27571</v>
          </cell>
          <cell r="J34">
            <v>0</v>
          </cell>
          <cell r="K34">
            <v>75779928</v>
          </cell>
          <cell r="L34">
            <v>55540176</v>
          </cell>
        </row>
        <row r="36">
          <cell r="F36" t="str">
            <v>Middle Deemed Secondary</v>
          </cell>
        </row>
        <row r="38">
          <cell r="E38">
            <v>4014</v>
          </cell>
          <cell r="F38" t="str">
            <v>Astrea Academy Sheffield</v>
          </cell>
          <cell r="G38">
            <v>457.66666666666669</v>
          </cell>
          <cell r="H38">
            <v>237.83333333333331</v>
          </cell>
          <cell r="I38">
            <v>695.5</v>
          </cell>
          <cell r="J38">
            <v>0</v>
          </cell>
          <cell r="K38">
            <v>2075976</v>
          </cell>
          <cell r="L38">
            <v>1215804</v>
          </cell>
        </row>
        <row r="39">
          <cell r="E39">
            <v>4225</v>
          </cell>
          <cell r="F39" t="str">
            <v>Hinde House 3-16 School</v>
          </cell>
          <cell r="G39">
            <v>547</v>
          </cell>
          <cell r="H39">
            <v>308</v>
          </cell>
          <cell r="I39">
            <v>855</v>
          </cell>
          <cell r="J39">
            <v>0</v>
          </cell>
          <cell r="K39">
            <v>2481192</v>
          </cell>
          <cell r="L39">
            <v>1574496</v>
          </cell>
        </row>
        <row r="40">
          <cell r="E40">
            <v>4005</v>
          </cell>
          <cell r="F40" t="str">
            <v>Oasis Academy Don Valley</v>
          </cell>
          <cell r="G40">
            <v>394.33333333333337</v>
          </cell>
          <cell r="H40">
            <v>185.16666666666669</v>
          </cell>
          <cell r="I40">
            <v>579.5</v>
          </cell>
          <cell r="J40">
            <v>0</v>
          </cell>
          <cell r="K40">
            <v>1788696.0000000002</v>
          </cell>
          <cell r="L40">
            <v>946572.00000000012</v>
          </cell>
        </row>
        <row r="42">
          <cell r="F42" t="str">
            <v>Total Middle Deemed Secondary</v>
          </cell>
          <cell r="G42">
            <v>1399</v>
          </cell>
          <cell r="H42">
            <v>731</v>
          </cell>
          <cell r="I42">
            <v>2130</v>
          </cell>
          <cell r="J42">
            <v>0</v>
          </cell>
          <cell r="K42">
            <v>6345864</v>
          </cell>
          <cell r="L42">
            <v>3736872</v>
          </cell>
        </row>
        <row r="44">
          <cell r="F44" t="str">
            <v>Total Secondary</v>
          </cell>
          <cell r="G44">
            <v>18105.333333333336</v>
          </cell>
          <cell r="H44">
            <v>11595.666666666668</v>
          </cell>
          <cell r="I44">
            <v>29701</v>
          </cell>
          <cell r="J44">
            <v>0</v>
          </cell>
          <cell r="K44">
            <v>82125792</v>
          </cell>
          <cell r="L44">
            <v>59277048</v>
          </cell>
        </row>
        <row r="45">
          <cell r="I45">
            <v>0</v>
          </cell>
          <cell r="K45">
            <v>0</v>
          </cell>
          <cell r="L45">
            <v>0</v>
          </cell>
        </row>
      </sheetData>
      <sheetData sheetId="18"/>
      <sheetData sheetId="19"/>
      <sheetData sheetId="20">
        <row r="1">
          <cell r="E1" t="str">
            <v>IDACI Funding</v>
          </cell>
          <cell r="G1" t="str">
            <v>2022-23</v>
          </cell>
          <cell r="I1" t="e">
            <v>#REF!</v>
          </cell>
          <cell r="J1">
            <v>395876426</v>
          </cell>
        </row>
        <row r="3">
          <cell r="F3" t="str">
            <v>Band</v>
          </cell>
          <cell r="G3" t="str">
            <v>A</v>
          </cell>
          <cell r="H3" t="str">
            <v>B</v>
          </cell>
          <cell r="I3" t="str">
            <v>C</v>
          </cell>
          <cell r="J3" t="str">
            <v>D</v>
          </cell>
          <cell r="K3" t="str">
            <v>E</v>
          </cell>
          <cell r="L3" t="str">
            <v>F</v>
          </cell>
          <cell r="P3" t="str">
            <v>Add Fund</v>
          </cell>
        </row>
        <row r="4">
          <cell r="F4">
            <v>8471014.986481756</v>
          </cell>
          <cell r="P4">
            <v>0</v>
          </cell>
        </row>
        <row r="5">
          <cell r="F5" t="str">
            <v>Sheffield 2021-22 Values £</v>
          </cell>
          <cell r="G5">
            <v>479.52814151274913</v>
          </cell>
          <cell r="H5">
            <v>367.38043099767071</v>
          </cell>
          <cell r="I5">
            <v>344.17745640834414</v>
          </cell>
          <cell r="J5">
            <v>317.10731938746318</v>
          </cell>
          <cell r="K5">
            <v>201.09244644083029</v>
          </cell>
          <cell r="L5">
            <v>166.28798455684043</v>
          </cell>
        </row>
        <row r="6">
          <cell r="F6" t="str">
            <v>NFF Rates</v>
          </cell>
          <cell r="G6">
            <v>640</v>
          </cell>
          <cell r="H6">
            <v>490</v>
          </cell>
          <cell r="I6">
            <v>460</v>
          </cell>
          <cell r="J6">
            <v>420</v>
          </cell>
          <cell r="K6">
            <v>270</v>
          </cell>
          <cell r="L6">
            <v>220</v>
          </cell>
        </row>
        <row r="7">
          <cell r="F7" t="str">
            <v>NFF Movement Rate £</v>
          </cell>
          <cell r="G7">
            <v>490.76117160685669</v>
          </cell>
          <cell r="H7">
            <v>375.96380082783378</v>
          </cell>
          <cell r="I7">
            <v>352.28503445976003</v>
          </cell>
          <cell r="J7">
            <v>324.30980703034078</v>
          </cell>
          <cell r="K7">
            <v>205.91597518997216</v>
          </cell>
          <cell r="L7">
            <v>170.04782563786159</v>
          </cell>
        </row>
        <row r="8">
          <cell r="F8" t="str">
            <v>Calculated 22-23 Rate £</v>
          </cell>
          <cell r="G8">
            <v>490.76117160685669</v>
          </cell>
          <cell r="H8">
            <v>375.96380082783378</v>
          </cell>
          <cell r="I8">
            <v>352.28503445976003</v>
          </cell>
          <cell r="J8">
            <v>324.30980703034078</v>
          </cell>
          <cell r="K8">
            <v>205.91597518997216</v>
          </cell>
          <cell r="L8">
            <v>170.04782563786159</v>
          </cell>
        </row>
        <row r="9">
          <cell r="F9" t="str">
            <v>Primary - Band Value £</v>
          </cell>
          <cell r="G9">
            <v>490.76117160685669</v>
          </cell>
          <cell r="H9">
            <v>375.96380082783378</v>
          </cell>
          <cell r="I9">
            <v>352.28503445976003</v>
          </cell>
          <cell r="J9">
            <v>324.30980703034078</v>
          </cell>
          <cell r="K9">
            <v>205.91597518997216</v>
          </cell>
          <cell r="L9">
            <v>170.04782563786159</v>
          </cell>
        </row>
        <row r="10">
          <cell r="F10" t="str">
            <v>Primary - Pupils</v>
          </cell>
          <cell r="G10">
            <v>3509.0766925141402</v>
          </cell>
          <cell r="H10">
            <v>8254.7601783635982</v>
          </cell>
          <cell r="I10">
            <v>4587.1410830925051</v>
          </cell>
          <cell r="J10">
            <v>2426.8210955025074</v>
          </cell>
          <cell r="K10">
            <v>3624.4845291372894</v>
          </cell>
          <cell r="L10">
            <v>2917.0798396145888</v>
          </cell>
          <cell r="M10">
            <v>25319.363418224628</v>
          </cell>
        </row>
        <row r="11">
          <cell r="F11" t="str">
            <v>Weighting</v>
          </cell>
          <cell r="G11">
            <v>1</v>
          </cell>
          <cell r="H11">
            <v>0.421875</v>
          </cell>
          <cell r="I11">
            <v>0.65625</v>
          </cell>
          <cell r="J11">
            <v>0.71875</v>
          </cell>
          <cell r="K11">
            <v>0.765625</v>
          </cell>
          <cell r="L11">
            <v>1</v>
          </cell>
        </row>
        <row r="12">
          <cell r="F12" t="str">
            <v>Primary - Weighted Pupils</v>
          </cell>
          <cell r="G12">
            <v>3509.0766925141402</v>
          </cell>
          <cell r="H12">
            <v>3482.4769502471431</v>
          </cell>
          <cell r="I12">
            <v>3010.3113357794564</v>
          </cell>
          <cell r="J12">
            <v>1744.2776623924271</v>
          </cell>
          <cell r="K12">
            <v>2774.9959676207372</v>
          </cell>
          <cell r="L12">
            <v>2917.0798396145888</v>
          </cell>
          <cell r="M12">
            <v>17438.218448168493</v>
          </cell>
          <cell r="P12">
            <v>0</v>
          </cell>
        </row>
        <row r="13">
          <cell r="F13" t="str">
            <v>Allocation Primary £</v>
          </cell>
          <cell r="G13">
            <v>1722118.5888765531</v>
          </cell>
          <cell r="H13">
            <v>3103491.0115798255</v>
          </cell>
          <cell r="I13">
            <v>1615981.1545290241</v>
          </cell>
          <cell r="J13">
            <v>787041.88117957837</v>
          </cell>
          <cell r="K13">
            <v>746339.26637827198</v>
          </cell>
          <cell r="L13">
            <v>496043.08393850282</v>
          </cell>
          <cell r="M13">
            <v>8471014.986481756</v>
          </cell>
        </row>
        <row r="14">
          <cell r="F14">
            <v>8438971.2622030545</v>
          </cell>
          <cell r="M14">
            <v>0</v>
          </cell>
        </row>
        <row r="15">
          <cell r="F15" t="str">
            <v>Sheffield 2021-22 Values £</v>
          </cell>
          <cell r="G15">
            <v>709.31873275741884</v>
          </cell>
          <cell r="H15">
            <v>557.61472632953144</v>
          </cell>
          <cell r="I15">
            <v>516.61364351118357</v>
          </cell>
          <cell r="J15">
            <v>475.6125606928357</v>
          </cell>
          <cell r="K15">
            <v>340.30898739228758</v>
          </cell>
          <cell r="L15">
            <v>254.20671347375702</v>
          </cell>
        </row>
        <row r="16">
          <cell r="F16" t="str">
            <v>NFF Rates</v>
          </cell>
          <cell r="G16">
            <v>890</v>
          </cell>
          <cell r="H16">
            <v>700</v>
          </cell>
          <cell r="I16">
            <v>650</v>
          </cell>
          <cell r="J16">
            <v>595</v>
          </cell>
          <cell r="K16">
            <v>425</v>
          </cell>
          <cell r="L16">
            <v>320</v>
          </cell>
        </row>
        <row r="17">
          <cell r="F17" t="str">
            <v>NFF Movement Rate £</v>
          </cell>
          <cell r="G17">
            <v>721.96642146439956</v>
          </cell>
          <cell r="H17">
            <v>567.58169548646424</v>
          </cell>
          <cell r="I17">
            <v>525.95068846540073</v>
          </cell>
          <cell r="J17">
            <v>483.9696814443372</v>
          </cell>
          <cell r="K17">
            <v>346.23735827482744</v>
          </cell>
          <cell r="L17">
            <v>258.812243530594</v>
          </cell>
        </row>
        <row r="18">
          <cell r="F18" t="str">
            <v>Calculated 22-23 Rate £</v>
          </cell>
          <cell r="G18">
            <v>721.96642146439956</v>
          </cell>
          <cell r="H18">
            <v>567.58169548646424</v>
          </cell>
          <cell r="I18">
            <v>525.95068846540073</v>
          </cell>
          <cell r="J18">
            <v>483.9696814443372</v>
          </cell>
          <cell r="K18">
            <v>346.23735827482744</v>
          </cell>
          <cell r="L18">
            <v>258.812243530594</v>
          </cell>
        </row>
        <row r="19">
          <cell r="F19" t="str">
            <v>Secondary - Band Value £</v>
          </cell>
          <cell r="G19">
            <v>721.96642146439956</v>
          </cell>
          <cell r="H19">
            <v>567.58169548646424</v>
          </cell>
          <cell r="I19">
            <v>525.95068846540073</v>
          </cell>
          <cell r="J19">
            <v>483.9696814443372</v>
          </cell>
          <cell r="K19">
            <v>346.23735827482744</v>
          </cell>
          <cell r="L19">
            <v>258.812243530594</v>
          </cell>
        </row>
        <row r="20">
          <cell r="F20" t="str">
            <v>Secondary - Pupils</v>
          </cell>
          <cell r="G20">
            <v>2268.2664701699059</v>
          </cell>
          <cell r="H20">
            <v>5414.8082777037016</v>
          </cell>
          <cell r="I20">
            <v>3114.1223067637156</v>
          </cell>
          <cell r="J20">
            <v>1589.0698183498373</v>
          </cell>
          <cell r="K20">
            <v>2335.9636893057514</v>
          </cell>
          <cell r="L20">
            <v>1979.3448873467819</v>
          </cell>
          <cell r="M20">
            <v>16701.575449639695</v>
          </cell>
        </row>
        <row r="21">
          <cell r="F21" t="str">
            <v>Weighting</v>
          </cell>
          <cell r="G21">
            <v>1</v>
          </cell>
          <cell r="H21">
            <v>0.47752808988764045</v>
          </cell>
          <cell r="I21">
            <v>0.6685393258426966</v>
          </cell>
          <cell r="J21">
            <v>0.7303370786516854</v>
          </cell>
          <cell r="K21">
            <v>0.7865168539325843</v>
          </cell>
          <cell r="L21">
            <v>1</v>
          </cell>
        </row>
        <row r="22">
          <cell r="F22" t="str">
            <v>Secondary - Weighted Pupils</v>
          </cell>
          <cell r="G22">
            <v>2268.2664701699059</v>
          </cell>
          <cell r="H22">
            <v>2585.7230539596326</v>
          </cell>
          <cell r="I22">
            <v>2081.9132275555176</v>
          </cell>
          <cell r="J22">
            <v>1160.5566089071845</v>
          </cell>
          <cell r="K22">
            <v>1837.2748118135123</v>
          </cell>
          <cell r="L22">
            <v>1979.3448873467819</v>
          </cell>
          <cell r="M22">
            <v>11913.079059752534</v>
          </cell>
          <cell r="P22">
            <v>0</v>
          </cell>
        </row>
        <row r="23">
          <cell r="F23" t="str">
            <v>Allocation Secondary £</v>
          </cell>
          <cell r="G23">
            <v>1637612.2263962522</v>
          </cell>
          <cell r="H23">
            <v>3073346.0629932084</v>
          </cell>
          <cell r="I23">
            <v>1637874.7712078381</v>
          </cell>
          <cell r="J23">
            <v>769061.6137795815</v>
          </cell>
          <cell r="K23">
            <v>808797.89681114315</v>
          </cell>
          <cell r="L23">
            <v>512278.69101503148</v>
          </cell>
          <cell r="M23">
            <v>8438971.2622030545</v>
          </cell>
        </row>
        <row r="24">
          <cell r="F24" t="str">
            <v>Total Allocation £</v>
          </cell>
          <cell r="G24">
            <v>3359730.8152728053</v>
          </cell>
          <cell r="H24">
            <v>6176837.0745730344</v>
          </cell>
          <cell r="I24">
            <v>3253855.9257368622</v>
          </cell>
          <cell r="J24">
            <v>1556103.4949591598</v>
          </cell>
          <cell r="K24">
            <v>1555137.1631894151</v>
          </cell>
          <cell r="L24">
            <v>1008321.7749535344</v>
          </cell>
          <cell r="M24">
            <v>16909986.248684809</v>
          </cell>
          <cell r="P24">
            <v>0</v>
          </cell>
        </row>
        <row r="25">
          <cell r="M25">
            <v>0</v>
          </cell>
        </row>
        <row r="26">
          <cell r="G26">
            <v>35</v>
          </cell>
          <cell r="H26">
            <v>34</v>
          </cell>
          <cell r="I26">
            <v>33</v>
          </cell>
          <cell r="J26">
            <v>32</v>
          </cell>
          <cell r="K26">
            <v>31</v>
          </cell>
          <cell r="L26">
            <v>30</v>
          </cell>
          <cell r="M26">
            <v>29</v>
          </cell>
        </row>
        <row r="27">
          <cell r="E27" t="str">
            <v>DfE</v>
          </cell>
          <cell r="F27" t="str">
            <v>School</v>
          </cell>
          <cell r="G27" t="str">
            <v>Band A %</v>
          </cell>
          <cell r="H27" t="str">
            <v>Band B %</v>
          </cell>
          <cell r="I27" t="str">
            <v>Band C %</v>
          </cell>
          <cell r="J27" t="str">
            <v>Band D %</v>
          </cell>
          <cell r="K27" t="str">
            <v>Band E %</v>
          </cell>
          <cell r="L27" t="str">
            <v>Band F %</v>
          </cell>
          <cell r="M27" t="str">
            <v>Band G %</v>
          </cell>
          <cell r="N27" t="str">
            <v>Total %</v>
          </cell>
          <cell r="P27" t="str">
            <v xml:space="preserve">Band A </v>
          </cell>
          <cell r="Q27" t="str">
            <v xml:space="preserve">Band B </v>
          </cell>
          <cell r="R27" t="str">
            <v xml:space="preserve">Band C </v>
          </cell>
          <cell r="S27" t="str">
            <v xml:space="preserve">Band D </v>
          </cell>
          <cell r="T27" t="str">
            <v xml:space="preserve">Band E </v>
          </cell>
          <cell r="U27" t="str">
            <v xml:space="preserve">Band F </v>
          </cell>
          <cell r="V27" t="str">
            <v xml:space="preserve">Band G </v>
          </cell>
          <cell r="W27" t="str">
            <v xml:space="preserve">Total </v>
          </cell>
          <cell r="Y27" t="str">
            <v>Band A £</v>
          </cell>
          <cell r="Z27" t="str">
            <v>Band B £</v>
          </cell>
          <cell r="AA27" t="str">
            <v>Band C £</v>
          </cell>
          <cell r="AB27" t="str">
            <v>Band D £</v>
          </cell>
          <cell r="AC27" t="str">
            <v>Band E £</v>
          </cell>
          <cell r="AD27" t="str">
            <v>Band F £</v>
          </cell>
          <cell r="AE27" t="str">
            <v>Total £</v>
          </cell>
          <cell r="AG27" t="str">
            <v>2021-22</v>
          </cell>
          <cell r="AH27" t="str">
            <v>£ Var</v>
          </cell>
          <cell r="AI27" t="str">
            <v>% Var</v>
          </cell>
        </row>
        <row r="29">
          <cell r="E29">
            <v>2001</v>
          </cell>
          <cell r="F29" t="str">
            <v>Abbey Lane Primary School</v>
          </cell>
          <cell r="G29">
            <v>7.1813285457809697E-3</v>
          </cell>
          <cell r="H29">
            <v>5.0269299820466802E-2</v>
          </cell>
          <cell r="I29">
            <v>4.8473967684021499E-2</v>
          </cell>
          <cell r="J29">
            <v>2.5134649910233401E-2</v>
          </cell>
          <cell r="K29">
            <v>2.69299820466786E-2</v>
          </cell>
          <cell r="L29">
            <v>0.131059245960503</v>
          </cell>
          <cell r="M29">
            <v>0.71095152603231604</v>
          </cell>
          <cell r="N29">
            <v>1.0000000000000004</v>
          </cell>
          <cell r="P29">
            <v>4</v>
          </cell>
          <cell r="Q29">
            <v>28.000000000000007</v>
          </cell>
          <cell r="R29">
            <v>26.999999999999975</v>
          </cell>
          <cell r="S29">
            <v>14.000000000000004</v>
          </cell>
          <cell r="T29">
            <v>14.99999999999998</v>
          </cell>
          <cell r="U29">
            <v>73.000000000000171</v>
          </cell>
          <cell r="V29">
            <v>396.00000000000006</v>
          </cell>
          <cell r="W29">
            <v>557</v>
          </cell>
          <cell r="Y29">
            <v>1963.0446864274268</v>
          </cell>
          <cell r="Z29">
            <v>10526.986423179349</v>
          </cell>
          <cell r="AA29">
            <v>9511.6959304135125</v>
          </cell>
          <cell r="AB29">
            <v>4540.3372984247717</v>
          </cell>
          <cell r="AC29">
            <v>3088.7396278495785</v>
          </cell>
          <cell r="AD29">
            <v>12413.491271563926</v>
          </cell>
          <cell r="AE29">
            <v>42044.295237858569</v>
          </cell>
          <cell r="AG29">
            <v>37287.180165047794</v>
          </cell>
          <cell r="AH29">
            <v>4757.115072810775</v>
          </cell>
          <cell r="AI29">
            <v>0.11314531605056506</v>
          </cell>
        </row>
        <row r="30">
          <cell r="E30">
            <v>2046</v>
          </cell>
          <cell r="F30" t="str">
            <v>Abbeyfield Primary Academy</v>
          </cell>
          <cell r="G30">
            <v>3.10734463276836E-2</v>
          </cell>
          <cell r="H30">
            <v>5.93220338983051E-2</v>
          </cell>
          <cell r="I30">
            <v>0.21186440677966101</v>
          </cell>
          <cell r="J30">
            <v>0.19774011299434999</v>
          </cell>
          <cell r="K30">
            <v>0.418079096045198</v>
          </cell>
          <cell r="L30">
            <v>6.4971751412429404E-2</v>
          </cell>
          <cell r="M30">
            <v>1.6949152542372899E-2</v>
          </cell>
          <cell r="N30">
            <v>1</v>
          </cell>
          <cell r="P30">
            <v>10.999999999999995</v>
          </cell>
          <cell r="Q30">
            <v>21.000000000000007</v>
          </cell>
          <cell r="R30">
            <v>75</v>
          </cell>
          <cell r="S30">
            <v>69.999999999999901</v>
          </cell>
          <cell r="T30">
            <v>148.00000000000009</v>
          </cell>
          <cell r="U30">
            <v>23.000000000000011</v>
          </cell>
          <cell r="V30">
            <v>6.0000000000000062</v>
          </cell>
          <cell r="W30">
            <v>354</v>
          </cell>
          <cell r="Y30">
            <v>5398.3728876754212</v>
          </cell>
          <cell r="Z30">
            <v>7895.2398173845122</v>
          </cell>
          <cell r="AA30">
            <v>26421.377584482001</v>
          </cell>
          <cell r="AB30">
            <v>22701.686492123823</v>
          </cell>
          <cell r="AC30">
            <v>30475.564328115895</v>
          </cell>
          <cell r="AD30">
            <v>3911.0999896708186</v>
          </cell>
          <cell r="AE30">
            <v>96803.341099452475</v>
          </cell>
          <cell r="AG30">
            <v>100209.78008886999</v>
          </cell>
          <cell r="AH30">
            <v>-3406.438989417511</v>
          </cell>
          <cell r="AI30">
            <v>-3.5189270852933177E-2</v>
          </cell>
        </row>
        <row r="31">
          <cell r="E31">
            <v>2048</v>
          </cell>
          <cell r="F31" t="str">
            <v>Acres Hill Community Primary School</v>
          </cell>
          <cell r="G31">
            <v>5.67010309278351E-2</v>
          </cell>
          <cell r="H31">
            <v>9.7938144329896906E-2</v>
          </cell>
          <cell r="I31">
            <v>2.06185567010309E-2</v>
          </cell>
          <cell r="J31">
            <v>0.43814432989690699</v>
          </cell>
          <cell r="K31">
            <v>0.36082474226804101</v>
          </cell>
          <cell r="L31">
            <v>5.1546391752577301E-3</v>
          </cell>
          <cell r="M31">
            <v>2.06185567010309E-2</v>
          </cell>
          <cell r="N31">
            <v>0.99999999999999956</v>
          </cell>
          <cell r="P31">
            <v>11.000000000000009</v>
          </cell>
          <cell r="Q31">
            <v>19</v>
          </cell>
          <cell r="R31">
            <v>3.9999999999999947</v>
          </cell>
          <cell r="S31">
            <v>84.999999999999957</v>
          </cell>
          <cell r="T31">
            <v>69.999999999999957</v>
          </cell>
          <cell r="U31">
            <v>0.99999999999999967</v>
          </cell>
          <cell r="V31">
            <v>3.9999999999999947</v>
          </cell>
          <cell r="W31">
            <v>194</v>
          </cell>
          <cell r="Y31">
            <v>5398.3728876754276</v>
          </cell>
          <cell r="Z31">
            <v>7143.3122157288417</v>
          </cell>
          <cell r="AA31">
            <v>1409.1401378390383</v>
          </cell>
          <cell r="AB31">
            <v>27566.333597578952</v>
          </cell>
          <cell r="AC31">
            <v>14414.118263298042</v>
          </cell>
          <cell r="AD31">
            <v>170.04782563786154</v>
          </cell>
          <cell r="AE31">
            <v>56101.324927758164</v>
          </cell>
          <cell r="AG31">
            <v>58196.927432462617</v>
          </cell>
          <cell r="AH31">
            <v>-2095.6025047044532</v>
          </cell>
          <cell r="AI31">
            <v>-3.7353886158713122E-2</v>
          </cell>
        </row>
        <row r="32">
          <cell r="E32">
            <v>2342</v>
          </cell>
          <cell r="F32" t="str">
            <v>Angram Bank Primary School</v>
          </cell>
          <cell r="G32">
            <v>2.0512820512820499E-2</v>
          </cell>
          <cell r="H32">
            <v>0.39487179487179502</v>
          </cell>
          <cell r="I32">
            <v>1.5384615384615399E-2</v>
          </cell>
          <cell r="J32">
            <v>0</v>
          </cell>
          <cell r="K32">
            <v>0.246153846153846</v>
          </cell>
          <cell r="L32">
            <v>1.5384615384615399E-2</v>
          </cell>
          <cell r="M32">
            <v>0.30769230769230799</v>
          </cell>
          <cell r="N32">
            <v>1.0000000000000004</v>
          </cell>
          <cell r="P32">
            <v>3.9999999999999973</v>
          </cell>
          <cell r="Q32">
            <v>77.000000000000028</v>
          </cell>
          <cell r="R32">
            <v>3.0000000000000027</v>
          </cell>
          <cell r="S32">
            <v>0</v>
          </cell>
          <cell r="T32">
            <v>47.999999999999972</v>
          </cell>
          <cell r="U32">
            <v>3.0000000000000027</v>
          </cell>
          <cell r="V32">
            <v>60.000000000000057</v>
          </cell>
          <cell r="W32">
            <v>195</v>
          </cell>
          <cell r="Y32">
            <v>1963.0446864274254</v>
          </cell>
          <cell r="Z32">
            <v>28949.212663743212</v>
          </cell>
          <cell r="AA32">
            <v>1056.855103379281</v>
          </cell>
          <cell r="AB32">
            <v>0</v>
          </cell>
          <cell r="AC32">
            <v>9883.9668091186577</v>
          </cell>
          <cell r="AD32">
            <v>510.14347691358523</v>
          </cell>
          <cell r="AE32">
            <v>42363.222739582161</v>
          </cell>
          <cell r="AG32">
            <v>41297.427606569741</v>
          </cell>
          <cell r="AH32">
            <v>1065.7951330124197</v>
          </cell>
          <cell r="AI32">
            <v>2.5158499851726149E-2</v>
          </cell>
        </row>
        <row r="33">
          <cell r="E33">
            <v>2343</v>
          </cell>
          <cell r="F33" t="str">
            <v>Anns Grove Primary School</v>
          </cell>
          <cell r="G33">
            <v>6.1728395061728399E-2</v>
          </cell>
          <cell r="H33">
            <v>9.8765432098765399E-2</v>
          </cell>
          <cell r="I33">
            <v>0.22222222222222199</v>
          </cell>
          <cell r="J33">
            <v>0.29938271604938299</v>
          </cell>
          <cell r="K33">
            <v>8.3333333333333301E-2</v>
          </cell>
          <cell r="L33">
            <v>5.5555555555555601E-2</v>
          </cell>
          <cell r="M33">
            <v>0.179012345679012</v>
          </cell>
          <cell r="N33">
            <v>0.99999999999999956</v>
          </cell>
          <cell r="P33">
            <v>20</v>
          </cell>
          <cell r="Q33">
            <v>31.999999999999989</v>
          </cell>
          <cell r="R33">
            <v>71.999999999999929</v>
          </cell>
          <cell r="S33">
            <v>97.000000000000085</v>
          </cell>
          <cell r="T33">
            <v>26.999999999999989</v>
          </cell>
          <cell r="U33">
            <v>18.000000000000014</v>
          </cell>
          <cell r="V33">
            <v>57.999999999999886</v>
          </cell>
          <cell r="W33">
            <v>324</v>
          </cell>
          <cell r="Y33">
            <v>9815.2234321371343</v>
          </cell>
          <cell r="Z33">
            <v>12030.841626490677</v>
          </cell>
          <cell r="AA33">
            <v>25364.522481102696</v>
          </cell>
          <cell r="AB33">
            <v>31458.051281943084</v>
          </cell>
          <cell r="AC33">
            <v>5559.7313301292461</v>
          </cell>
          <cell r="AD33">
            <v>3060.8608614815112</v>
          </cell>
          <cell r="AE33">
            <v>87289.231013284356</v>
          </cell>
          <cell r="AG33">
            <v>80378.971139858812</v>
          </cell>
          <cell r="AH33">
            <v>6910.2598734255444</v>
          </cell>
          <cell r="AI33">
            <v>7.9165090506684466E-2</v>
          </cell>
        </row>
        <row r="34">
          <cell r="E34">
            <v>3429</v>
          </cell>
          <cell r="F34" t="str">
            <v>Arbourthorne Community Primary School</v>
          </cell>
          <cell r="G34">
            <v>0.25806451612903197</v>
          </cell>
          <cell r="H34">
            <v>0.51116625310173702</v>
          </cell>
          <cell r="I34">
            <v>0.101736972704715</v>
          </cell>
          <cell r="J34">
            <v>8.9330024813895806E-2</v>
          </cell>
          <cell r="K34">
            <v>2.48138957816377E-3</v>
          </cell>
          <cell r="L34">
            <v>4.96277915632754E-3</v>
          </cell>
          <cell r="M34">
            <v>3.2258064516128997E-2</v>
          </cell>
          <cell r="N34">
            <v>1.0000000000000002</v>
          </cell>
          <cell r="P34">
            <v>103.99999999999989</v>
          </cell>
          <cell r="Q34">
            <v>206.00000000000003</v>
          </cell>
          <cell r="R34">
            <v>41.000000000000149</v>
          </cell>
          <cell r="S34">
            <v>36.000000000000007</v>
          </cell>
          <cell r="T34">
            <v>0.99999999999999933</v>
          </cell>
          <cell r="U34">
            <v>1.9999999999999987</v>
          </cell>
          <cell r="V34">
            <v>12.999999999999986</v>
          </cell>
          <cell r="W34">
            <v>403</v>
          </cell>
          <cell r="Y34">
            <v>51039.161847113042</v>
          </cell>
          <cell r="Z34">
            <v>77448.542970533774</v>
          </cell>
          <cell r="AA34">
            <v>14443.686412850213</v>
          </cell>
          <cell r="AB34">
            <v>11675.15305309227</v>
          </cell>
          <cell r="AC34">
            <v>205.91597518997202</v>
          </cell>
          <cell r="AD34">
            <v>340.09565127572296</v>
          </cell>
          <cell r="AE34">
            <v>155152.555910055</v>
          </cell>
          <cell r="AG34">
            <v>150455.82156205663</v>
          </cell>
          <cell r="AH34">
            <v>4696.7343479983683</v>
          </cell>
          <cell r="AI34">
            <v>3.0271717539227378E-2</v>
          </cell>
        </row>
        <row r="35">
          <cell r="E35">
            <v>2340</v>
          </cell>
          <cell r="F35" t="str">
            <v>Athelstan Primary School</v>
          </cell>
          <cell r="G35">
            <v>5.2032520325203301E-2</v>
          </cell>
          <cell r="H35">
            <v>6.8292682926829301E-2</v>
          </cell>
          <cell r="I35">
            <v>0.22113821138211401</v>
          </cell>
          <cell r="J35">
            <v>9.5934959349593493E-2</v>
          </cell>
          <cell r="K35">
            <v>0.123577235772358</v>
          </cell>
          <cell r="L35">
            <v>2.92682926829268E-2</v>
          </cell>
          <cell r="M35">
            <v>0.40975609756097597</v>
          </cell>
          <cell r="N35">
            <v>1.0000000000000009</v>
          </cell>
          <cell r="P35">
            <v>32.000000000000028</v>
          </cell>
          <cell r="Q35">
            <v>42.000000000000021</v>
          </cell>
          <cell r="R35">
            <v>136.00000000000011</v>
          </cell>
          <cell r="S35">
            <v>59</v>
          </cell>
          <cell r="T35">
            <v>76.000000000000171</v>
          </cell>
          <cell r="U35">
            <v>17.999999999999982</v>
          </cell>
          <cell r="V35">
            <v>252.00000000000023</v>
          </cell>
          <cell r="W35">
            <v>615</v>
          </cell>
          <cell r="Y35">
            <v>15704.357491419429</v>
          </cell>
          <cell r="Z35">
            <v>15790.479634769026</v>
          </cell>
          <cell r="AA35">
            <v>47910.764686527407</v>
          </cell>
          <cell r="AB35">
            <v>19134.278614790106</v>
          </cell>
          <cell r="AC35">
            <v>15649.61411443792</v>
          </cell>
          <cell r="AD35">
            <v>3060.8608614815057</v>
          </cell>
          <cell r="AE35">
            <v>117250.35540342539</v>
          </cell>
          <cell r="AG35">
            <v>109769.40561967247</v>
          </cell>
          <cell r="AH35">
            <v>7480.9497837529198</v>
          </cell>
          <cell r="AI35">
            <v>6.3803216271823504E-2</v>
          </cell>
        </row>
        <row r="36">
          <cell r="E36">
            <v>2281</v>
          </cell>
          <cell r="F36" t="str">
            <v>Ballifield Primary School</v>
          </cell>
          <cell r="G36">
            <v>1.44578313253012E-2</v>
          </cell>
          <cell r="H36">
            <v>1.44578313253012E-2</v>
          </cell>
          <cell r="I36">
            <v>3.13253012048193E-2</v>
          </cell>
          <cell r="J36">
            <v>2.40963855421687E-2</v>
          </cell>
          <cell r="K36">
            <v>1.68674698795181E-2</v>
          </cell>
          <cell r="L36">
            <v>0.26987951807228899</v>
          </cell>
          <cell r="M36">
            <v>0.62891566265060195</v>
          </cell>
          <cell r="N36">
            <v>0.99999999999999944</v>
          </cell>
          <cell r="P36">
            <v>5.9999999999999982</v>
          </cell>
          <cell r="Q36">
            <v>5.9999999999999982</v>
          </cell>
          <cell r="R36">
            <v>13.000000000000009</v>
          </cell>
          <cell r="S36">
            <v>10.000000000000011</v>
          </cell>
          <cell r="T36">
            <v>7.0000000000000115</v>
          </cell>
          <cell r="U36">
            <v>111.99999999999993</v>
          </cell>
          <cell r="V36">
            <v>260.99999999999983</v>
          </cell>
          <cell r="W36">
            <v>415</v>
          </cell>
          <cell r="Y36">
            <v>2944.5670296411395</v>
          </cell>
          <cell r="Z36">
            <v>2255.782804967002</v>
          </cell>
          <cell r="AA36">
            <v>4579.7054479768831</v>
          </cell>
          <cell r="AB36">
            <v>3243.0980703034111</v>
          </cell>
          <cell r="AC36">
            <v>1441.4118263298076</v>
          </cell>
          <cell r="AD36">
            <v>19045.356471440486</v>
          </cell>
          <cell r="AE36">
            <v>33509.921650658725</v>
          </cell>
          <cell r="AG36">
            <v>33698.453428565263</v>
          </cell>
          <cell r="AH36">
            <v>-188.53177790653717</v>
          </cell>
          <cell r="AI36">
            <v>-5.6261479770672957E-3</v>
          </cell>
        </row>
        <row r="37">
          <cell r="E37">
            <v>2322</v>
          </cell>
          <cell r="F37" t="str">
            <v>Bankwood Community Primary School</v>
          </cell>
          <cell r="G37">
            <v>0.72727272727272696</v>
          </cell>
          <cell r="H37">
            <v>0.118457300275482</v>
          </cell>
          <cell r="I37">
            <v>0.118457300275482</v>
          </cell>
          <cell r="J37">
            <v>2.4793388429752101E-2</v>
          </cell>
          <cell r="K37">
            <v>2.7548209366391198E-3</v>
          </cell>
          <cell r="L37">
            <v>0</v>
          </cell>
          <cell r="M37">
            <v>8.2644628099173608E-3</v>
          </cell>
          <cell r="N37">
            <v>0.99999999999999944</v>
          </cell>
          <cell r="P37">
            <v>263.99999999999989</v>
          </cell>
          <cell r="Q37">
            <v>42.999999999999964</v>
          </cell>
          <cell r="R37">
            <v>42.999999999999964</v>
          </cell>
          <cell r="S37">
            <v>9.0000000000000124</v>
          </cell>
          <cell r="T37">
            <v>1.0000000000000004</v>
          </cell>
          <cell r="U37">
            <v>0</v>
          </cell>
          <cell r="V37">
            <v>3.0000000000000018</v>
          </cell>
          <cell r="W37">
            <v>363</v>
          </cell>
          <cell r="Y37">
            <v>129560.94930421011</v>
          </cell>
          <cell r="Z37">
            <v>16166.443435596839</v>
          </cell>
          <cell r="AA37">
            <v>15148.256481769669</v>
          </cell>
          <cell r="AB37">
            <v>2918.7882632730712</v>
          </cell>
          <cell r="AC37">
            <v>205.91597518997224</v>
          </cell>
          <cell r="AD37">
            <v>0</v>
          </cell>
          <cell r="AE37">
            <v>164000.35346003965</v>
          </cell>
          <cell r="AG37">
            <v>152110.96708276201</v>
          </cell>
          <cell r="AH37">
            <v>11889.386377277639</v>
          </cell>
          <cell r="AI37">
            <v>7.249610215123474E-2</v>
          </cell>
        </row>
        <row r="38">
          <cell r="E38">
            <v>2274</v>
          </cell>
          <cell r="F38" t="str">
            <v>Beck Primary School</v>
          </cell>
          <cell r="G38">
            <v>0.21839080459770099</v>
          </cell>
          <cell r="H38">
            <v>0.65024630541871897</v>
          </cell>
          <cell r="I38">
            <v>9.6880131362890004E-2</v>
          </cell>
          <cell r="J38">
            <v>3.28407224958949E-3</v>
          </cell>
          <cell r="K38">
            <v>6.56814449917898E-3</v>
          </cell>
          <cell r="L38">
            <v>9.8522167487684695E-3</v>
          </cell>
          <cell r="M38">
            <v>1.47783251231527E-2</v>
          </cell>
          <cell r="N38">
            <v>0.99999999999999956</v>
          </cell>
          <cell r="P38">
            <v>133.21839080459762</v>
          </cell>
          <cell r="Q38">
            <v>396.65024630541859</v>
          </cell>
          <cell r="R38">
            <v>59.096880131362902</v>
          </cell>
          <cell r="S38">
            <v>2.0032840722495888</v>
          </cell>
          <cell r="T38">
            <v>4.0065681444991776</v>
          </cell>
          <cell r="U38">
            <v>6.009852216748766</v>
          </cell>
          <cell r="V38">
            <v>9.0147783251231477</v>
          </cell>
          <cell r="W38">
            <v>610</v>
          </cell>
          <cell r="Y38">
            <v>65378.413550844431</v>
          </cell>
          <cell r="Z38">
            <v>149126.13420028161</v>
          </cell>
          <cell r="AA38">
            <v>20818.946453541488</v>
          </cell>
          <cell r="AB38">
            <v>649.68467089821945</v>
          </cell>
          <cell r="AC38">
            <v>825.01638663962547</v>
          </cell>
          <cell r="AD38">
            <v>1021.9623018630101</v>
          </cell>
          <cell r="AE38">
            <v>237820.15756406839</v>
          </cell>
          <cell r="AG38">
            <v>238406.69674289881</v>
          </cell>
          <cell r="AH38">
            <v>-586.53917883042595</v>
          </cell>
          <cell r="AI38">
            <v>-2.4663139779159096E-3</v>
          </cell>
        </row>
        <row r="39">
          <cell r="E39">
            <v>2241</v>
          </cell>
          <cell r="F39" t="str">
            <v>Beighton Nursery Infant School</v>
          </cell>
          <cell r="G39">
            <v>0</v>
          </cell>
          <cell r="H39">
            <v>1.20481927710843E-2</v>
          </cell>
          <cell r="I39">
            <v>4.0160642570281103E-3</v>
          </cell>
          <cell r="J39">
            <v>1.20481927710843E-2</v>
          </cell>
          <cell r="K39">
            <v>8.0321285140562207E-3</v>
          </cell>
          <cell r="L39">
            <v>0.36144578313253001</v>
          </cell>
          <cell r="M39">
            <v>0.60240963855421703</v>
          </cell>
          <cell r="N39">
            <v>1</v>
          </cell>
          <cell r="P39">
            <v>0</v>
          </cell>
          <cell r="Q39">
            <v>2.9999999999999907</v>
          </cell>
          <cell r="R39">
            <v>0.99999999999999944</v>
          </cell>
          <cell r="S39">
            <v>2.9999999999999907</v>
          </cell>
          <cell r="T39">
            <v>1.9999999999999989</v>
          </cell>
          <cell r="U39">
            <v>89.999999999999972</v>
          </cell>
          <cell r="V39">
            <v>150.00000000000003</v>
          </cell>
          <cell r="W39">
            <v>249</v>
          </cell>
          <cell r="Y39">
            <v>0</v>
          </cell>
          <cell r="Z39">
            <v>1127.8914024834978</v>
          </cell>
          <cell r="AA39">
            <v>352.28503445975986</v>
          </cell>
          <cell r="AB39">
            <v>972.92942109101932</v>
          </cell>
          <cell r="AC39">
            <v>411.83195037994409</v>
          </cell>
          <cell r="AD39">
            <v>15304.304307407538</v>
          </cell>
          <cell r="AE39">
            <v>18169.242115821758</v>
          </cell>
          <cell r="AG39">
            <v>16102.864364992627</v>
          </cell>
          <cell r="AH39">
            <v>2066.3777508291314</v>
          </cell>
          <cell r="AI39">
            <v>0.11372944108822963</v>
          </cell>
        </row>
        <row r="40">
          <cell r="E40">
            <v>2353</v>
          </cell>
          <cell r="F40" t="str">
            <v>Birley Primary Academy</v>
          </cell>
          <cell r="G40">
            <v>2.0637898686679201E-2</v>
          </cell>
          <cell r="H40">
            <v>6.19136960600375E-2</v>
          </cell>
          <cell r="I40">
            <v>5.2532833020637902E-2</v>
          </cell>
          <cell r="J40">
            <v>9.7560975609756101E-2</v>
          </cell>
          <cell r="K40">
            <v>5.4409005628517797E-2</v>
          </cell>
          <cell r="L40">
            <v>3.1894934333958701E-2</v>
          </cell>
          <cell r="M40">
            <v>0.68105065666041298</v>
          </cell>
          <cell r="N40">
            <v>1.0000000000000002</v>
          </cell>
          <cell r="P40">
            <v>11.000000000000014</v>
          </cell>
          <cell r="Q40">
            <v>32.999999999999986</v>
          </cell>
          <cell r="R40">
            <v>28.000000000000004</v>
          </cell>
          <cell r="S40">
            <v>52</v>
          </cell>
          <cell r="T40">
            <v>28.999999999999986</v>
          </cell>
          <cell r="U40">
            <v>16.999999999999986</v>
          </cell>
          <cell r="V40">
            <v>363.00000000000011</v>
          </cell>
          <cell r="W40">
            <v>533</v>
          </cell>
          <cell r="Y40">
            <v>5398.3728876754303</v>
          </cell>
          <cell r="Z40">
            <v>12406.80542731851</v>
          </cell>
          <cell r="AA40">
            <v>9863.9809648732826</v>
          </cell>
          <cell r="AB40">
            <v>16864.109965577722</v>
          </cell>
          <cell r="AC40">
            <v>5971.56328050919</v>
          </cell>
          <cell r="AD40">
            <v>2890.8130358436447</v>
          </cell>
          <cell r="AE40">
            <v>53395.645561797777</v>
          </cell>
          <cell r="AG40">
            <v>51363.651415905915</v>
          </cell>
          <cell r="AH40">
            <v>2031.994145891862</v>
          </cell>
          <cell r="AI40">
            <v>3.8055428013134912E-2</v>
          </cell>
        </row>
        <row r="41">
          <cell r="E41">
            <v>2323</v>
          </cell>
          <cell r="F41" t="str">
            <v>Birley Spa Primary Academy</v>
          </cell>
          <cell r="G41">
            <v>1.97183098591549E-2</v>
          </cell>
          <cell r="H41">
            <v>1.97183098591549E-2</v>
          </cell>
          <cell r="I41">
            <v>0.26478873239436601</v>
          </cell>
          <cell r="J41">
            <v>0.309859154929577</v>
          </cell>
          <cell r="K41">
            <v>2.8169014084507E-3</v>
          </cell>
          <cell r="L41">
            <v>0.13239436619718301</v>
          </cell>
          <cell r="M41">
            <v>0.25070422535211301</v>
          </cell>
          <cell r="N41">
            <v>0.99999999999999956</v>
          </cell>
          <cell r="P41">
            <v>6.9999999999999893</v>
          </cell>
          <cell r="Q41">
            <v>6.9999999999999893</v>
          </cell>
          <cell r="R41">
            <v>93.999999999999929</v>
          </cell>
          <cell r="S41">
            <v>109.99999999999983</v>
          </cell>
          <cell r="T41">
            <v>0.99999999999999856</v>
          </cell>
          <cell r="U41">
            <v>46.999999999999964</v>
          </cell>
          <cell r="V41">
            <v>89.000000000000114</v>
          </cell>
          <cell r="W41">
            <v>355</v>
          </cell>
          <cell r="Y41">
            <v>3435.3282012479917</v>
          </cell>
          <cell r="Z41">
            <v>2631.7466057948322</v>
          </cell>
          <cell r="AA41">
            <v>33114.793239217419</v>
          </cell>
          <cell r="AB41">
            <v>35674.078773337431</v>
          </cell>
          <cell r="AC41">
            <v>205.91597518997187</v>
          </cell>
          <cell r="AD41">
            <v>7992.247804979489</v>
          </cell>
          <cell r="AE41">
            <v>83054.11059976714</v>
          </cell>
          <cell r="AG41">
            <v>77579.145539413352</v>
          </cell>
          <cell r="AH41">
            <v>5474.9650603537884</v>
          </cell>
          <cell r="AI41">
            <v>6.5920458612064636E-2</v>
          </cell>
        </row>
        <row r="42">
          <cell r="E42">
            <v>2328</v>
          </cell>
          <cell r="F42" t="str">
            <v>Bradfield Dungworth Primary School</v>
          </cell>
          <cell r="G42">
            <v>0</v>
          </cell>
          <cell r="H42">
            <v>3.1746031746031703E-2</v>
          </cell>
          <cell r="I42">
            <v>0</v>
          </cell>
          <cell r="J42">
            <v>0</v>
          </cell>
          <cell r="K42">
            <v>2.3809523809523801E-2</v>
          </cell>
          <cell r="L42">
            <v>0</v>
          </cell>
          <cell r="M42">
            <v>0.94444444444444398</v>
          </cell>
          <cell r="N42">
            <v>0.99999999999999944</v>
          </cell>
          <cell r="P42">
            <v>0</v>
          </cell>
          <cell r="Q42">
            <v>3.9999999999999947</v>
          </cell>
          <cell r="R42">
            <v>0</v>
          </cell>
          <cell r="S42">
            <v>0</v>
          </cell>
          <cell r="T42">
            <v>2.9999999999999991</v>
          </cell>
          <cell r="U42">
            <v>0</v>
          </cell>
          <cell r="V42">
            <v>118.99999999999994</v>
          </cell>
          <cell r="W42">
            <v>126</v>
          </cell>
          <cell r="Y42">
            <v>0</v>
          </cell>
          <cell r="Z42">
            <v>1503.8552033113331</v>
          </cell>
          <cell r="AA42">
            <v>0</v>
          </cell>
          <cell r="AB42">
            <v>0</v>
          </cell>
          <cell r="AC42">
            <v>617.74792556991633</v>
          </cell>
          <cell r="AD42">
            <v>0</v>
          </cell>
          <cell r="AE42">
            <v>2121.6031288812492</v>
          </cell>
          <cell r="AG42">
            <v>2273.8915097540021</v>
          </cell>
          <cell r="AH42">
            <v>-152.2883808727529</v>
          </cell>
          <cell r="AI42">
            <v>-7.1779862500983713E-2</v>
          </cell>
        </row>
        <row r="43">
          <cell r="E43">
            <v>2233</v>
          </cell>
          <cell r="F43" t="str">
            <v>Bradway Primary School</v>
          </cell>
          <cell r="G43">
            <v>4.8426150121065404E-3</v>
          </cell>
          <cell r="H43">
            <v>0.14043583535109</v>
          </cell>
          <cell r="I43">
            <v>5.8111380145278502E-2</v>
          </cell>
          <cell r="J43">
            <v>1.93704600484262E-2</v>
          </cell>
          <cell r="K43">
            <v>1.6949152542372899E-2</v>
          </cell>
          <cell r="L43">
            <v>7.2639225181598101E-3</v>
          </cell>
          <cell r="M43">
            <v>0.75302663438256701</v>
          </cell>
          <cell r="N43">
            <v>1.0000000000000009</v>
          </cell>
          <cell r="P43">
            <v>2.0000000000000013</v>
          </cell>
          <cell r="Q43">
            <v>58.000000000000171</v>
          </cell>
          <cell r="R43">
            <v>24.000000000000021</v>
          </cell>
          <cell r="S43">
            <v>8.0000000000000213</v>
          </cell>
          <cell r="T43">
            <v>7.0000000000000071</v>
          </cell>
          <cell r="U43">
            <v>3.0000000000000018</v>
          </cell>
          <cell r="V43">
            <v>311.00000000000017</v>
          </cell>
          <cell r="W43">
            <v>413</v>
          </cell>
          <cell r="Y43">
            <v>981.52234321371407</v>
          </cell>
          <cell r="Z43">
            <v>21805.900448014425</v>
          </cell>
          <cell r="AA43">
            <v>8454.8408270342479</v>
          </cell>
          <cell r="AB43">
            <v>2594.478456242733</v>
          </cell>
          <cell r="AC43">
            <v>1441.4118263298067</v>
          </cell>
          <cell r="AD43">
            <v>510.14347691358506</v>
          </cell>
          <cell r="AE43">
            <v>35788.297377748517</v>
          </cell>
          <cell r="AG43">
            <v>37256.242865595326</v>
          </cell>
          <cell r="AH43">
            <v>-1467.9454878468096</v>
          </cell>
          <cell r="AI43">
            <v>-4.1017472062236444E-2</v>
          </cell>
        </row>
        <row r="44">
          <cell r="E44">
            <v>2014</v>
          </cell>
          <cell r="F44" t="str">
            <v>Brightside Nursery and Infant School</v>
          </cell>
          <cell r="G44">
            <v>4.6783625730994101E-2</v>
          </cell>
          <cell r="H44">
            <v>0.12865497076023399</v>
          </cell>
          <cell r="I44">
            <v>0.30409356725146203</v>
          </cell>
          <cell r="J44">
            <v>1.1695906432748499E-2</v>
          </cell>
          <cell r="K44">
            <v>0.216374269005848</v>
          </cell>
          <cell r="L44">
            <v>6.4327485380116997E-2</v>
          </cell>
          <cell r="M44">
            <v>0.22807017543859601</v>
          </cell>
          <cell r="N44">
            <v>0.99999999999999967</v>
          </cell>
          <cell r="P44">
            <v>7.9999999999999911</v>
          </cell>
          <cell r="Q44">
            <v>22.000000000000014</v>
          </cell>
          <cell r="R44">
            <v>52.000000000000007</v>
          </cell>
          <cell r="S44">
            <v>1.9999999999999933</v>
          </cell>
          <cell r="T44">
            <v>37.000000000000007</v>
          </cell>
          <cell r="U44">
            <v>11.000000000000007</v>
          </cell>
          <cell r="V44">
            <v>38.999999999999915</v>
          </cell>
          <cell r="W44">
            <v>171</v>
          </cell>
          <cell r="Y44">
            <v>3926.089372854849</v>
          </cell>
          <cell r="Z44">
            <v>8271.2036182123484</v>
          </cell>
          <cell r="AA44">
            <v>18318.821791907525</v>
          </cell>
          <cell r="AB44">
            <v>648.6196140606794</v>
          </cell>
          <cell r="AC44">
            <v>7618.8910820289711</v>
          </cell>
          <cell r="AD44">
            <v>1870.5260820164788</v>
          </cell>
          <cell r="AE44">
            <v>40654.151561080849</v>
          </cell>
          <cell r="AG44">
            <v>39282.635979729879</v>
          </cell>
          <cell r="AH44">
            <v>1371.51558135097</v>
          </cell>
          <cell r="AI44">
            <v>3.3736175241299425E-2</v>
          </cell>
        </row>
        <row r="45">
          <cell r="E45">
            <v>2246</v>
          </cell>
          <cell r="F45" t="str">
            <v>Brook House Junior</v>
          </cell>
          <cell r="G45">
            <v>2.9498525073746299E-3</v>
          </cell>
          <cell r="H45">
            <v>1.7699115044247801E-2</v>
          </cell>
          <cell r="I45">
            <v>1.47492625368732E-2</v>
          </cell>
          <cell r="J45">
            <v>2.9498525073746299E-3</v>
          </cell>
          <cell r="K45">
            <v>1.1799410029498501E-2</v>
          </cell>
          <cell r="L45">
            <v>0.31268436578171099</v>
          </cell>
          <cell r="M45">
            <v>0.63716814159292001</v>
          </cell>
          <cell r="N45">
            <v>0.99999999999999978</v>
          </cell>
          <cell r="P45">
            <v>0.99999999999999956</v>
          </cell>
          <cell r="Q45">
            <v>6.0000000000000044</v>
          </cell>
          <cell r="R45">
            <v>5.0000000000000142</v>
          </cell>
          <cell r="S45">
            <v>0.99999999999999956</v>
          </cell>
          <cell r="T45">
            <v>3.9999999999999916</v>
          </cell>
          <cell r="U45">
            <v>106.00000000000003</v>
          </cell>
          <cell r="V45">
            <v>215.99999999999989</v>
          </cell>
          <cell r="W45">
            <v>339</v>
          </cell>
          <cell r="Y45">
            <v>490.76117160685646</v>
          </cell>
          <cell r="Z45">
            <v>2255.7828049670043</v>
          </cell>
          <cell r="AA45">
            <v>1761.4251722988051</v>
          </cell>
          <cell r="AB45">
            <v>324.30980703034061</v>
          </cell>
          <cell r="AC45">
            <v>823.66390075988693</v>
          </cell>
          <cell r="AD45">
            <v>18025.069517613334</v>
          </cell>
          <cell r="AE45">
            <v>23681.012374276226</v>
          </cell>
          <cell r="AG45">
            <v>22050.560184723348</v>
          </cell>
          <cell r="AH45">
            <v>1630.4521895528778</v>
          </cell>
          <cell r="AI45">
            <v>6.8850611780600035E-2</v>
          </cell>
        </row>
        <row r="46">
          <cell r="E46">
            <v>5204</v>
          </cell>
          <cell r="F46" t="str">
            <v>Broomhill Infant School</v>
          </cell>
          <cell r="G46">
            <v>0</v>
          </cell>
          <cell r="H46">
            <v>6.25E-2</v>
          </cell>
          <cell r="I46">
            <v>8.9285714285714298E-3</v>
          </cell>
          <cell r="J46">
            <v>8.9285714285714298E-3</v>
          </cell>
          <cell r="K46">
            <v>0.1875</v>
          </cell>
          <cell r="L46">
            <v>0</v>
          </cell>
          <cell r="M46">
            <v>0.73214285714285698</v>
          </cell>
          <cell r="N46">
            <v>0.99999999999999978</v>
          </cell>
          <cell r="P46">
            <v>0</v>
          </cell>
          <cell r="Q46">
            <v>7</v>
          </cell>
          <cell r="R46">
            <v>1.0000000000000002</v>
          </cell>
          <cell r="S46">
            <v>1.0000000000000002</v>
          </cell>
          <cell r="T46">
            <v>21</v>
          </cell>
          <cell r="U46">
            <v>0</v>
          </cell>
          <cell r="V46">
            <v>81.999999999999986</v>
          </cell>
          <cell r="W46">
            <v>112</v>
          </cell>
          <cell r="Y46">
            <v>0</v>
          </cell>
          <cell r="Z46">
            <v>2631.7466057948363</v>
          </cell>
          <cell r="AA46">
            <v>352.28503445976008</v>
          </cell>
          <cell r="AB46">
            <v>324.30980703034083</v>
          </cell>
          <cell r="AC46">
            <v>4324.2354789894152</v>
          </cell>
          <cell r="AD46">
            <v>0</v>
          </cell>
          <cell r="AE46">
            <v>7632.5769262743524</v>
          </cell>
          <cell r="AG46">
            <v>7452.022005605374</v>
          </cell>
          <cell r="AH46">
            <v>180.55492066897841</v>
          </cell>
          <cell r="AI46">
            <v>2.3655827175149309E-2</v>
          </cell>
        </row>
        <row r="47">
          <cell r="E47">
            <v>2325</v>
          </cell>
          <cell r="F47" t="str">
            <v>Brunswick Community Primary School</v>
          </cell>
          <cell r="G47">
            <v>2.4213075060532702E-3</v>
          </cell>
          <cell r="H47">
            <v>3.8740920096852302E-2</v>
          </cell>
          <cell r="I47">
            <v>0.38498789346246998</v>
          </cell>
          <cell r="J47">
            <v>9.6852300242130807E-3</v>
          </cell>
          <cell r="K47">
            <v>2.6634382566585998E-2</v>
          </cell>
          <cell r="L47">
            <v>0.18401937046004799</v>
          </cell>
          <cell r="M47">
            <v>0.35351089588377699</v>
          </cell>
          <cell r="N47">
            <v>0.99999999999999956</v>
          </cell>
          <cell r="P47">
            <v>1.0000000000000007</v>
          </cell>
          <cell r="Q47">
            <v>16</v>
          </cell>
          <cell r="R47">
            <v>159.00000000000011</v>
          </cell>
          <cell r="S47">
            <v>4.0000000000000027</v>
          </cell>
          <cell r="T47">
            <v>11.000000000000018</v>
          </cell>
          <cell r="U47">
            <v>75.999999999999815</v>
          </cell>
          <cell r="V47">
            <v>145.99999999999989</v>
          </cell>
          <cell r="W47">
            <v>413</v>
          </cell>
          <cell r="Y47">
            <v>490.76117160685703</v>
          </cell>
          <cell r="Z47">
            <v>6015.4208132453405</v>
          </cell>
          <cell r="AA47">
            <v>56013.320479101887</v>
          </cell>
          <cell r="AB47">
            <v>1297.239228121364</v>
          </cell>
          <cell r="AC47">
            <v>2265.0757270896975</v>
          </cell>
          <cell r="AD47">
            <v>12923.634748477449</v>
          </cell>
          <cell r="AE47">
            <v>79005.452167642594</v>
          </cell>
          <cell r="AG47">
            <v>76159.896927032911</v>
          </cell>
          <cell r="AH47">
            <v>2845.5552406096831</v>
          </cell>
          <cell r="AI47">
            <v>3.6017200870791376E-2</v>
          </cell>
        </row>
        <row r="48">
          <cell r="E48">
            <v>2095</v>
          </cell>
          <cell r="F48" t="str">
            <v>Byron Wood Primary Academy</v>
          </cell>
          <cell r="G48">
            <v>1.0126582278481001E-2</v>
          </cell>
          <cell r="H48">
            <v>9.6202531645569606E-2</v>
          </cell>
          <cell r="I48">
            <v>0.66582278481012702</v>
          </cell>
          <cell r="J48">
            <v>0.10126582278481</v>
          </cell>
          <cell r="K48">
            <v>0.10632911392405101</v>
          </cell>
          <cell r="L48">
            <v>1.26582278481013E-2</v>
          </cell>
          <cell r="M48">
            <v>7.5949367088607601E-3</v>
          </cell>
          <cell r="N48">
            <v>1.0000000000000007</v>
          </cell>
          <cell r="P48">
            <v>3.9999999999999951</v>
          </cell>
          <cell r="Q48">
            <v>37.999999999999993</v>
          </cell>
          <cell r="R48">
            <v>263.00000000000017</v>
          </cell>
          <cell r="S48">
            <v>39.99999999999995</v>
          </cell>
          <cell r="T48">
            <v>42.000000000000149</v>
          </cell>
          <cell r="U48">
            <v>5.0000000000000133</v>
          </cell>
          <cell r="V48">
            <v>3.0000000000000004</v>
          </cell>
          <cell r="W48">
            <v>395</v>
          </cell>
          <cell r="Y48">
            <v>1963.0446864274243</v>
          </cell>
          <cell r="Z48">
            <v>14286.624431457682</v>
          </cell>
          <cell r="AA48">
            <v>92650.964062916944</v>
          </cell>
          <cell r="AB48">
            <v>12972.392281213615</v>
          </cell>
          <cell r="AC48">
            <v>8648.4709579788614</v>
          </cell>
          <cell r="AD48">
            <v>850.23912818931024</v>
          </cell>
          <cell r="AE48">
            <v>131371.73554818385</v>
          </cell>
          <cell r="AG48">
            <v>133815.42161907771</v>
          </cell>
          <cell r="AH48">
            <v>-2443.6860708938621</v>
          </cell>
          <cell r="AI48">
            <v>-1.8601307661019514E-2</v>
          </cell>
        </row>
        <row r="49">
          <cell r="E49">
            <v>2344</v>
          </cell>
          <cell r="F49" t="str">
            <v>Carfield Primary School</v>
          </cell>
          <cell r="G49">
            <v>6.5454545454545501E-2</v>
          </cell>
          <cell r="H49">
            <v>4.72727272727273E-2</v>
          </cell>
          <cell r="I49">
            <v>7.6363636363636397E-2</v>
          </cell>
          <cell r="J49">
            <v>8.7272727272727293E-2</v>
          </cell>
          <cell r="K49">
            <v>0.112727272727273</v>
          </cell>
          <cell r="L49">
            <v>0.12727272727272701</v>
          </cell>
          <cell r="M49">
            <v>0.48363636363636398</v>
          </cell>
          <cell r="N49">
            <v>1.0000000000000004</v>
          </cell>
          <cell r="P49">
            <v>36.000000000000028</v>
          </cell>
          <cell r="Q49">
            <v>26.000000000000014</v>
          </cell>
          <cell r="R49">
            <v>42.000000000000021</v>
          </cell>
          <cell r="S49">
            <v>48.000000000000014</v>
          </cell>
          <cell r="T49">
            <v>62.000000000000149</v>
          </cell>
          <cell r="U49">
            <v>69.999999999999858</v>
          </cell>
          <cell r="V49">
            <v>266.00000000000017</v>
          </cell>
          <cell r="W49">
            <v>550</v>
          </cell>
          <cell r="Y49">
            <v>17667.402177846856</v>
          </cell>
          <cell r="Z49">
            <v>9775.0588215236839</v>
          </cell>
          <cell r="AA49">
            <v>14795.971447309928</v>
          </cell>
          <cell r="AB49">
            <v>15566.870737456362</v>
          </cell>
          <cell r="AC49">
            <v>12766.790461778304</v>
          </cell>
          <cell r="AD49">
            <v>11903.347794650288</v>
          </cell>
          <cell r="AE49">
            <v>82475.44144056541</v>
          </cell>
          <cell r="AG49">
            <v>83039.578892768259</v>
          </cell>
          <cell r="AH49">
            <v>-564.13745220284909</v>
          </cell>
          <cell r="AI49">
            <v>-6.8400658711161386E-3</v>
          </cell>
        </row>
        <row r="50">
          <cell r="E50">
            <v>2023</v>
          </cell>
          <cell r="F50" t="str">
            <v>Carter Knowle Junior School</v>
          </cell>
          <cell r="G50">
            <v>0</v>
          </cell>
          <cell r="H50">
            <v>4.4843049327354303E-3</v>
          </cell>
          <cell r="I50">
            <v>0</v>
          </cell>
          <cell r="J50">
            <v>4.4843049327354303E-3</v>
          </cell>
          <cell r="K50">
            <v>1.34529147982063E-2</v>
          </cell>
          <cell r="L50">
            <v>2.6905829596412599E-2</v>
          </cell>
          <cell r="M50">
            <v>0.95067264573990995</v>
          </cell>
          <cell r="N50">
            <v>0.99999999999999967</v>
          </cell>
          <cell r="P50">
            <v>0</v>
          </cell>
          <cell r="Q50">
            <v>1.0000000000000009</v>
          </cell>
          <cell r="R50">
            <v>0</v>
          </cell>
          <cell r="S50">
            <v>1.0000000000000009</v>
          </cell>
          <cell r="T50">
            <v>3.0000000000000049</v>
          </cell>
          <cell r="U50">
            <v>6.0000000000000098</v>
          </cell>
          <cell r="V50">
            <v>211.99999999999991</v>
          </cell>
          <cell r="W50">
            <v>223</v>
          </cell>
          <cell r="Y50">
            <v>0</v>
          </cell>
          <cell r="Z50">
            <v>375.96380082783412</v>
          </cell>
          <cell r="AA50">
            <v>0</v>
          </cell>
          <cell r="AB50">
            <v>324.30980703034106</v>
          </cell>
          <cell r="AC50">
            <v>617.74792556991747</v>
          </cell>
          <cell r="AD50">
            <v>1020.2869538271713</v>
          </cell>
          <cell r="AE50">
            <v>2338.308487255264</v>
          </cell>
          <cell r="AG50">
            <v>2687.6778899303272</v>
          </cell>
          <cell r="AH50">
            <v>-349.36940267506316</v>
          </cell>
          <cell r="AI50">
            <v>-0.14941116819242159</v>
          </cell>
        </row>
        <row r="51">
          <cell r="E51">
            <v>2354</v>
          </cell>
          <cell r="F51" t="str">
            <v>Charnock Hall Primary Academy</v>
          </cell>
          <cell r="G51">
            <v>6.9825436408977606E-2</v>
          </cell>
          <cell r="H51">
            <v>7.2319201995012503E-2</v>
          </cell>
          <cell r="I51">
            <v>4.4887780548628402E-2</v>
          </cell>
          <cell r="J51">
            <v>2.7431421446384E-2</v>
          </cell>
          <cell r="K51">
            <v>0.114713216957606</v>
          </cell>
          <cell r="L51">
            <v>1.7456359102244402E-2</v>
          </cell>
          <cell r="M51">
            <v>0.65336658354114696</v>
          </cell>
          <cell r="N51">
            <v>0.99999999999999989</v>
          </cell>
          <cell r="P51">
            <v>28.000000000000021</v>
          </cell>
          <cell r="Q51">
            <v>29.000000000000014</v>
          </cell>
          <cell r="R51">
            <v>17.999999999999989</v>
          </cell>
          <cell r="S51">
            <v>10.999999999999984</v>
          </cell>
          <cell r="T51">
            <v>46.000000000000007</v>
          </cell>
          <cell r="U51">
            <v>7.0000000000000053</v>
          </cell>
          <cell r="V51">
            <v>261.99999999999994</v>
          </cell>
          <cell r="W51">
            <v>401</v>
          </cell>
          <cell r="Y51">
            <v>13741.312804991998</v>
          </cell>
          <cell r="Z51">
            <v>10902.950224007185</v>
          </cell>
          <cell r="AA51">
            <v>6341.1306202756768</v>
          </cell>
          <cell r="AB51">
            <v>3567.4078773337433</v>
          </cell>
          <cell r="AC51">
            <v>9472.1348587387201</v>
          </cell>
          <cell r="AD51">
            <v>1190.3347794650319</v>
          </cell>
          <cell r="AE51">
            <v>45215.271164812359</v>
          </cell>
          <cell r="AG51">
            <v>40566.533907005949</v>
          </cell>
          <cell r="AH51">
            <v>4648.7372578064096</v>
          </cell>
          <cell r="AI51">
            <v>0.10281343311779521</v>
          </cell>
        </row>
        <row r="52">
          <cell r="E52">
            <v>5200</v>
          </cell>
          <cell r="F52" t="str">
            <v>Clifford All Saints CofE Primary School</v>
          </cell>
          <cell r="G52">
            <v>5.2356020942408397E-3</v>
          </cell>
          <cell r="H52">
            <v>4.7120418848167499E-2</v>
          </cell>
          <cell r="I52">
            <v>4.1884816753926697E-2</v>
          </cell>
          <cell r="J52">
            <v>4.1884816753926697E-2</v>
          </cell>
          <cell r="K52">
            <v>4.7120418848167499E-2</v>
          </cell>
          <cell r="L52">
            <v>3.1413612565444997E-2</v>
          </cell>
          <cell r="M52">
            <v>0.78534031413612604</v>
          </cell>
          <cell r="N52">
            <v>1.0000000000000002</v>
          </cell>
          <cell r="P52">
            <v>1.0000000000000004</v>
          </cell>
          <cell r="Q52">
            <v>8.9999999999999929</v>
          </cell>
          <cell r="R52">
            <v>7.9999999999999991</v>
          </cell>
          <cell r="S52">
            <v>7.9999999999999991</v>
          </cell>
          <cell r="T52">
            <v>8.9999999999999929</v>
          </cell>
          <cell r="U52">
            <v>5.9999999999999947</v>
          </cell>
          <cell r="V52">
            <v>150.00000000000009</v>
          </cell>
          <cell r="W52">
            <v>191</v>
          </cell>
          <cell r="Y52">
            <v>490.76117160685692</v>
          </cell>
          <cell r="Z52">
            <v>3383.6742074505014</v>
          </cell>
          <cell r="AA52">
            <v>2818.2802756780798</v>
          </cell>
          <cell r="AB52">
            <v>2594.4784562427258</v>
          </cell>
          <cell r="AC52">
            <v>1853.2437767097479</v>
          </cell>
          <cell r="AD52">
            <v>1020.2869538271686</v>
          </cell>
          <cell r="AE52">
            <v>12160.724841515079</v>
          </cell>
          <cell r="AG52">
            <v>10383.331128723639</v>
          </cell>
          <cell r="AH52">
            <v>1777.3937127914396</v>
          </cell>
          <cell r="AI52">
            <v>0.14615853380085178</v>
          </cell>
        </row>
        <row r="53">
          <cell r="E53">
            <v>2312</v>
          </cell>
          <cell r="F53" t="str">
            <v>Coit Primary School</v>
          </cell>
          <cell r="G53">
            <v>1.99004975124378E-2</v>
          </cell>
          <cell r="H53">
            <v>6.4676616915422896E-2</v>
          </cell>
          <cell r="I53">
            <v>1.99004975124378E-2</v>
          </cell>
          <cell r="J53">
            <v>0</v>
          </cell>
          <cell r="K53">
            <v>6.4676616915422896E-2</v>
          </cell>
          <cell r="L53">
            <v>1.99004975124378E-2</v>
          </cell>
          <cell r="M53">
            <v>0.81094527363184099</v>
          </cell>
          <cell r="N53">
            <v>1.0000000000000002</v>
          </cell>
          <cell r="P53">
            <v>3.9999999999999978</v>
          </cell>
          <cell r="Q53">
            <v>13.000000000000002</v>
          </cell>
          <cell r="R53">
            <v>3.9999999999999978</v>
          </cell>
          <cell r="S53">
            <v>0</v>
          </cell>
          <cell r="T53">
            <v>13.000000000000002</v>
          </cell>
          <cell r="U53">
            <v>3.9999999999999978</v>
          </cell>
          <cell r="V53">
            <v>163.00000000000003</v>
          </cell>
          <cell r="W53">
            <v>201</v>
          </cell>
          <cell r="Y53">
            <v>1963.0446864274256</v>
          </cell>
          <cell r="Z53">
            <v>4887.5294107618402</v>
          </cell>
          <cell r="AA53">
            <v>1409.1401378390394</v>
          </cell>
          <cell r="AB53">
            <v>0</v>
          </cell>
          <cell r="AC53">
            <v>2676.9076774696382</v>
          </cell>
          <cell r="AD53">
            <v>680.19130255144603</v>
          </cell>
          <cell r="AE53">
            <v>11616.813215049389</v>
          </cell>
          <cell r="AG53">
            <v>12239.569095869769</v>
          </cell>
          <cell r="AH53">
            <v>-622.75588082037939</v>
          </cell>
          <cell r="AI53">
            <v>-5.3608151331348726E-2</v>
          </cell>
        </row>
        <row r="54">
          <cell r="E54">
            <v>2026</v>
          </cell>
          <cell r="F54" t="str">
            <v>Concord Junior School</v>
          </cell>
          <cell r="G54">
            <v>4.2105263157894701E-2</v>
          </cell>
          <cell r="H54">
            <v>0.32105263157894698</v>
          </cell>
          <cell r="I54">
            <v>0.115789473684211</v>
          </cell>
          <cell r="J54">
            <v>0</v>
          </cell>
          <cell r="K54">
            <v>8.42105263157895E-2</v>
          </cell>
          <cell r="L54">
            <v>0.25789473684210501</v>
          </cell>
          <cell r="M54">
            <v>0.17894736842105299</v>
          </cell>
          <cell r="N54">
            <v>1.0000000000000002</v>
          </cell>
          <cell r="P54">
            <v>7.9999999999999929</v>
          </cell>
          <cell r="Q54">
            <v>60.999999999999929</v>
          </cell>
          <cell r="R54">
            <v>22.000000000000089</v>
          </cell>
          <cell r="S54">
            <v>0</v>
          </cell>
          <cell r="T54">
            <v>16.000000000000004</v>
          </cell>
          <cell r="U54">
            <v>48.99999999999995</v>
          </cell>
          <cell r="V54">
            <v>34.000000000000071</v>
          </cell>
          <cell r="W54">
            <v>190</v>
          </cell>
          <cell r="Y54">
            <v>3926.0893728548499</v>
          </cell>
          <cell r="Z54">
            <v>22933.791850497833</v>
          </cell>
          <cell r="AA54">
            <v>7750.2707581147515</v>
          </cell>
          <cell r="AB54">
            <v>0</v>
          </cell>
          <cell r="AC54">
            <v>3294.6556030395554</v>
          </cell>
          <cell r="AD54">
            <v>8332.3434562552102</v>
          </cell>
          <cell r="AE54">
            <v>46237.151040762212</v>
          </cell>
          <cell r="AG54">
            <v>50354.322021270207</v>
          </cell>
          <cell r="AH54">
            <v>-4117.1709805079954</v>
          </cell>
          <cell r="AI54">
            <v>-8.9044651061617935E-2</v>
          </cell>
        </row>
        <row r="55">
          <cell r="E55">
            <v>3422</v>
          </cell>
          <cell r="F55" t="str">
            <v>Deepcar St John's Church of England Junior School</v>
          </cell>
          <cell r="G55">
            <v>0</v>
          </cell>
          <cell r="H55">
            <v>0</v>
          </cell>
          <cell r="I55">
            <v>0</v>
          </cell>
          <cell r="J55">
            <v>7.8313253012048195E-2</v>
          </cell>
          <cell r="K55">
            <v>0</v>
          </cell>
          <cell r="L55">
            <v>0.24698795180722899</v>
          </cell>
          <cell r="M55">
            <v>0.67469879518072295</v>
          </cell>
          <cell r="N55">
            <v>1</v>
          </cell>
          <cell r="P55">
            <v>0</v>
          </cell>
          <cell r="Q55">
            <v>0</v>
          </cell>
          <cell r="R55">
            <v>0</v>
          </cell>
          <cell r="S55">
            <v>13</v>
          </cell>
          <cell r="T55">
            <v>0</v>
          </cell>
          <cell r="U55">
            <v>41.000000000000014</v>
          </cell>
          <cell r="V55">
            <v>112.00000000000001</v>
          </cell>
          <cell r="W55">
            <v>166</v>
          </cell>
          <cell r="Y55">
            <v>0</v>
          </cell>
          <cell r="Z55">
            <v>0</v>
          </cell>
          <cell r="AA55">
            <v>0</v>
          </cell>
          <cell r="AB55">
            <v>4216.0274913944304</v>
          </cell>
          <cell r="AC55">
            <v>0</v>
          </cell>
          <cell r="AD55">
            <v>6971.9608511523275</v>
          </cell>
          <cell r="AE55">
            <v>11187.988342546758</v>
          </cell>
          <cell r="AG55">
            <v>12603.082364435877</v>
          </cell>
          <cell r="AH55">
            <v>-1415.0940218891192</v>
          </cell>
          <cell r="AI55">
            <v>-0.12648333002883669</v>
          </cell>
        </row>
        <row r="56">
          <cell r="E56">
            <v>2283</v>
          </cell>
          <cell r="F56" t="str">
            <v>Dobcroft Infant School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3.7037037037036999E-3</v>
          </cell>
          <cell r="L56">
            <v>3.7037037037036999E-3</v>
          </cell>
          <cell r="M56">
            <v>0.99259259259259303</v>
          </cell>
          <cell r="N56">
            <v>1.0000000000000004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0.999999999999999</v>
          </cell>
          <cell r="U56">
            <v>0.999999999999999</v>
          </cell>
          <cell r="V56">
            <v>268.00000000000011</v>
          </cell>
          <cell r="W56">
            <v>270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205.91597518997196</v>
          </cell>
          <cell r="AD56">
            <v>170.04782563786142</v>
          </cell>
          <cell r="AE56">
            <v>375.96380082783338</v>
          </cell>
          <cell r="AG56">
            <v>699.9564001113514</v>
          </cell>
          <cell r="AH56">
            <v>-323.99259928351802</v>
          </cell>
          <cell r="AI56">
            <v>-0.86176541084572467</v>
          </cell>
        </row>
        <row r="57">
          <cell r="E57">
            <v>2239</v>
          </cell>
          <cell r="F57" t="str">
            <v>Dobcroft Junior School</v>
          </cell>
          <cell r="G57">
            <v>0</v>
          </cell>
          <cell r="H57">
            <v>7.1599045346062099E-3</v>
          </cell>
          <cell r="I57">
            <v>2.38663484486874E-3</v>
          </cell>
          <cell r="J57">
            <v>0</v>
          </cell>
          <cell r="K57">
            <v>2.38663484486874E-3</v>
          </cell>
          <cell r="L57">
            <v>9.5465393794749408E-3</v>
          </cell>
          <cell r="M57">
            <v>0.97852028639618105</v>
          </cell>
          <cell r="N57">
            <v>0.99999999999999967</v>
          </cell>
          <cell r="P57">
            <v>0</v>
          </cell>
          <cell r="Q57">
            <v>3.0000000000000018</v>
          </cell>
          <cell r="R57">
            <v>1.000000000000002</v>
          </cell>
          <cell r="S57">
            <v>0</v>
          </cell>
          <cell r="T57">
            <v>1.000000000000002</v>
          </cell>
          <cell r="U57">
            <v>4</v>
          </cell>
          <cell r="V57">
            <v>409.99999999999989</v>
          </cell>
          <cell r="W57">
            <v>419</v>
          </cell>
          <cell r="Y57">
            <v>0</v>
          </cell>
          <cell r="Z57">
            <v>1127.8914024835019</v>
          </cell>
          <cell r="AA57">
            <v>352.28503445976071</v>
          </cell>
          <cell r="AB57">
            <v>0</v>
          </cell>
          <cell r="AC57">
            <v>205.91597518997256</v>
          </cell>
          <cell r="AD57">
            <v>680.19130255144637</v>
          </cell>
          <cell r="AE57">
            <v>2366.2837146846814</v>
          </cell>
          <cell r="AG57">
            <v>2645.1391031832295</v>
          </cell>
          <cell r="AH57">
            <v>-278.85538849854811</v>
          </cell>
          <cell r="AI57">
            <v>-0.11784528912066951</v>
          </cell>
        </row>
        <row r="58">
          <cell r="E58">
            <v>2364</v>
          </cell>
          <cell r="F58" t="str">
            <v>Dore Primary School</v>
          </cell>
          <cell r="G58">
            <v>0</v>
          </cell>
          <cell r="H58">
            <v>0</v>
          </cell>
          <cell r="I58">
            <v>0</v>
          </cell>
          <cell r="J58">
            <v>2.2421524663677099E-3</v>
          </cell>
          <cell r="K58">
            <v>2.2421524663677099E-3</v>
          </cell>
          <cell r="L58">
            <v>0</v>
          </cell>
          <cell r="M58">
            <v>0.99551569506726501</v>
          </cell>
          <cell r="N58">
            <v>1.0000000000000004</v>
          </cell>
          <cell r="P58">
            <v>0</v>
          </cell>
          <cell r="Q58">
            <v>0</v>
          </cell>
          <cell r="R58">
            <v>0</v>
          </cell>
          <cell r="S58">
            <v>0.99999999999999867</v>
          </cell>
          <cell r="T58">
            <v>0.99999999999999867</v>
          </cell>
          <cell r="U58">
            <v>0</v>
          </cell>
          <cell r="V58">
            <v>444.00000000000017</v>
          </cell>
          <cell r="W58">
            <v>446</v>
          </cell>
          <cell r="Y58">
            <v>0</v>
          </cell>
          <cell r="Z58">
            <v>0</v>
          </cell>
          <cell r="AA58">
            <v>0</v>
          </cell>
          <cell r="AB58">
            <v>324.30980703034032</v>
          </cell>
          <cell r="AC58">
            <v>205.91597518997187</v>
          </cell>
          <cell r="AD58">
            <v>0</v>
          </cell>
          <cell r="AE58">
            <v>530.22578222031223</v>
          </cell>
          <cell r="AG58">
            <v>0</v>
          </cell>
          <cell r="AH58">
            <v>530.22578222031223</v>
          </cell>
          <cell r="AI58">
            <v>1</v>
          </cell>
        </row>
        <row r="59">
          <cell r="E59">
            <v>2016</v>
          </cell>
          <cell r="F59" t="str">
            <v>E-ACT Pathways Academy</v>
          </cell>
          <cell r="G59">
            <v>0.17428571428571399</v>
          </cell>
          <cell r="H59">
            <v>0.51714285714285702</v>
          </cell>
          <cell r="I59">
            <v>0.22571428571428601</v>
          </cell>
          <cell r="J59">
            <v>5.7142857142857099E-3</v>
          </cell>
          <cell r="K59">
            <v>4.57142857142857E-2</v>
          </cell>
          <cell r="L59">
            <v>1.1428571428571401E-2</v>
          </cell>
          <cell r="M59">
            <v>0.02</v>
          </cell>
          <cell r="N59">
            <v>0.99999999999999989</v>
          </cell>
          <cell r="P59">
            <v>60.999999999999893</v>
          </cell>
          <cell r="Q59">
            <v>180.99999999999994</v>
          </cell>
          <cell r="R59">
            <v>79.000000000000099</v>
          </cell>
          <cell r="S59">
            <v>1.9999999999999984</v>
          </cell>
          <cell r="T59">
            <v>15.999999999999995</v>
          </cell>
          <cell r="U59">
            <v>3.9999999999999902</v>
          </cell>
          <cell r="V59">
            <v>7</v>
          </cell>
          <cell r="W59">
            <v>350</v>
          </cell>
          <cell r="Y59">
            <v>29936.431468018207</v>
          </cell>
          <cell r="Z59">
            <v>68049.447949837893</v>
          </cell>
          <cell r="AA59">
            <v>27830.517722321078</v>
          </cell>
          <cell r="AB59">
            <v>648.6196140606811</v>
          </cell>
          <cell r="AC59">
            <v>3294.6556030395536</v>
          </cell>
          <cell r="AD59">
            <v>680.19130255144466</v>
          </cell>
          <cell r="AE59">
            <v>130439.86365982887</v>
          </cell>
          <cell r="AG59">
            <v>130373.64705499435</v>
          </cell>
          <cell r="AH59">
            <v>66.216604834524333</v>
          </cell>
          <cell r="AI59">
            <v>5.0764086205432643E-4</v>
          </cell>
        </row>
        <row r="60">
          <cell r="E60">
            <v>2206</v>
          </cell>
          <cell r="F60" t="str">
            <v>Ecclesall Primary School</v>
          </cell>
          <cell r="G60">
            <v>0</v>
          </cell>
          <cell r="H60">
            <v>3.3277870216306201E-3</v>
          </cell>
          <cell r="I60">
            <v>0</v>
          </cell>
          <cell r="J60">
            <v>3.3277870216306201E-3</v>
          </cell>
          <cell r="K60">
            <v>9.9833610648918502E-3</v>
          </cell>
          <cell r="L60">
            <v>0</v>
          </cell>
          <cell r="M60">
            <v>0.98336106489184705</v>
          </cell>
          <cell r="N60">
            <v>1.0000000000000002</v>
          </cell>
          <cell r="P60">
            <v>0</v>
          </cell>
          <cell r="Q60">
            <v>2.0000000000000027</v>
          </cell>
          <cell r="R60">
            <v>0</v>
          </cell>
          <cell r="S60">
            <v>2.0000000000000027</v>
          </cell>
          <cell r="T60">
            <v>6.0000000000000018</v>
          </cell>
          <cell r="U60">
            <v>0</v>
          </cell>
          <cell r="V60">
            <v>591.00000000000011</v>
          </cell>
          <cell r="W60">
            <v>601</v>
          </cell>
          <cell r="Y60">
            <v>0</v>
          </cell>
          <cell r="Z60">
            <v>751.92760165566858</v>
          </cell>
          <cell r="AA60">
            <v>0</v>
          </cell>
          <cell r="AB60">
            <v>648.61961406068247</v>
          </cell>
          <cell r="AC60">
            <v>1235.4958511398333</v>
          </cell>
          <cell r="AD60">
            <v>0</v>
          </cell>
          <cell r="AE60">
            <v>2636.0430668561844</v>
          </cell>
          <cell r="AG60">
            <v>4010.2474415219394</v>
          </cell>
          <cell r="AH60">
            <v>-1374.204374665755</v>
          </cell>
          <cell r="AI60">
            <v>-0.52131332448398426</v>
          </cell>
        </row>
        <row r="61">
          <cell r="E61">
            <v>2080</v>
          </cell>
          <cell r="F61" t="str">
            <v>Ecclesfield Primary School</v>
          </cell>
          <cell r="G61">
            <v>0.122448979591837</v>
          </cell>
          <cell r="H61">
            <v>0.219387755102041</v>
          </cell>
          <cell r="I61">
            <v>8.9285714285714302E-2</v>
          </cell>
          <cell r="J61">
            <v>5.1020408163265302E-3</v>
          </cell>
          <cell r="K61">
            <v>2.04081632653061E-2</v>
          </cell>
          <cell r="L61">
            <v>4.08163265306122E-2</v>
          </cell>
          <cell r="M61">
            <v>0.50255102040816302</v>
          </cell>
          <cell r="N61">
            <v>1</v>
          </cell>
          <cell r="P61">
            <v>48.000000000000099</v>
          </cell>
          <cell r="Q61">
            <v>86.000000000000071</v>
          </cell>
          <cell r="R61">
            <v>35.000000000000007</v>
          </cell>
          <cell r="S61">
            <v>1.9999999999999998</v>
          </cell>
          <cell r="T61">
            <v>7.9999999999999911</v>
          </cell>
          <cell r="U61">
            <v>15.999999999999982</v>
          </cell>
          <cell r="V61">
            <v>196.99999999999991</v>
          </cell>
          <cell r="W61">
            <v>392</v>
          </cell>
          <cell r="Y61">
            <v>23556.53623712917</v>
          </cell>
          <cell r="Z61">
            <v>32332.886871193732</v>
          </cell>
          <cell r="AA61">
            <v>12329.976206091604</v>
          </cell>
          <cell r="AB61">
            <v>648.61961406068144</v>
          </cell>
          <cell r="AC61">
            <v>1647.3278015197754</v>
          </cell>
          <cell r="AD61">
            <v>2720.7652102057823</v>
          </cell>
          <cell r="AE61">
            <v>73236.111940200732</v>
          </cell>
          <cell r="AG61">
            <v>73073.468415335577</v>
          </cell>
          <cell r="AH61">
            <v>162.64352486515418</v>
          </cell>
          <cell r="AI61">
            <v>2.2208104793705738E-3</v>
          </cell>
        </row>
        <row r="62">
          <cell r="E62">
            <v>2024</v>
          </cell>
          <cell r="F62" t="str">
            <v>Emmanuel Anglican/Methodist Junior School</v>
          </cell>
          <cell r="G62">
            <v>1.06951871657754E-2</v>
          </cell>
          <cell r="H62">
            <v>0.12299465240641699</v>
          </cell>
          <cell r="I62">
            <v>2.1390374331550801E-2</v>
          </cell>
          <cell r="J62">
            <v>0.13903743315507999</v>
          </cell>
          <cell r="K62">
            <v>5.3475935828876997E-2</v>
          </cell>
          <cell r="L62">
            <v>0.13903743315507999</v>
          </cell>
          <cell r="M62">
            <v>0.51336898395721897</v>
          </cell>
          <cell r="N62">
            <v>0.99999999999999911</v>
          </cell>
          <cell r="P62">
            <v>1.9999999999999998</v>
          </cell>
          <cell r="Q62">
            <v>22.999999999999979</v>
          </cell>
          <cell r="R62">
            <v>3.9999999999999996</v>
          </cell>
          <cell r="S62">
            <v>25.999999999999957</v>
          </cell>
          <cell r="T62">
            <v>9.9999999999999982</v>
          </cell>
          <cell r="U62">
            <v>25.999999999999957</v>
          </cell>
          <cell r="V62">
            <v>95.999999999999943</v>
          </cell>
          <cell r="W62">
            <v>187</v>
          </cell>
          <cell r="Y62">
            <v>981.52234321371327</v>
          </cell>
          <cell r="Z62">
            <v>8647.1674190401682</v>
          </cell>
          <cell r="AA62">
            <v>1409.1401378390399</v>
          </cell>
          <cell r="AB62">
            <v>8432.0549827888462</v>
          </cell>
          <cell r="AC62">
            <v>2059.1597518997214</v>
          </cell>
          <cell r="AD62">
            <v>4421.2434665843939</v>
          </cell>
          <cell r="AE62">
            <v>25950.288101365884</v>
          </cell>
          <cell r="AG62">
            <v>27870.639644212773</v>
          </cell>
          <cell r="AH62">
            <v>-1920.3515428468891</v>
          </cell>
          <cell r="AI62">
            <v>-7.4001164663208968E-2</v>
          </cell>
        </row>
        <row r="63">
          <cell r="E63">
            <v>2028</v>
          </cell>
          <cell r="F63" t="str">
            <v>Emmaus Catholic and CofE Primary School</v>
          </cell>
          <cell r="G63">
            <v>0.195945945945946</v>
          </cell>
          <cell r="H63">
            <v>0.50337837837837796</v>
          </cell>
          <cell r="I63">
            <v>9.7972972972972999E-2</v>
          </cell>
          <cell r="J63">
            <v>1.0135135135135099E-2</v>
          </cell>
          <cell r="K63">
            <v>9.7972972972972999E-2</v>
          </cell>
          <cell r="L63">
            <v>1.68918918918919E-2</v>
          </cell>
          <cell r="M63">
            <v>7.77027027027027E-2</v>
          </cell>
          <cell r="N63">
            <v>0.99999999999999967</v>
          </cell>
          <cell r="P63">
            <v>58.000000000000014</v>
          </cell>
          <cell r="Q63">
            <v>148.99999999999989</v>
          </cell>
          <cell r="R63">
            <v>29.000000000000007</v>
          </cell>
          <cell r="S63">
            <v>2.9999999999999893</v>
          </cell>
          <cell r="T63">
            <v>29.000000000000007</v>
          </cell>
          <cell r="U63">
            <v>5.0000000000000027</v>
          </cell>
          <cell r="V63">
            <v>23</v>
          </cell>
          <cell r="W63">
            <v>296</v>
          </cell>
          <cell r="Y63">
            <v>28464.147953197695</v>
          </cell>
          <cell r="Z63">
            <v>56018.606323347187</v>
          </cell>
          <cell r="AA63">
            <v>10216.265999333044</v>
          </cell>
          <cell r="AB63">
            <v>972.92942109101887</v>
          </cell>
          <cell r="AC63">
            <v>5971.5632805091936</v>
          </cell>
          <cell r="AD63">
            <v>850.23912818930842</v>
          </cell>
          <cell r="AE63">
            <v>102493.75210566743</v>
          </cell>
          <cell r="AG63">
            <v>100673.83958065636</v>
          </cell>
          <cell r="AH63">
            <v>1819.9125250110665</v>
          </cell>
          <cell r="AI63">
            <v>1.7756326484513914E-2</v>
          </cell>
        </row>
        <row r="64">
          <cell r="E64">
            <v>2010</v>
          </cell>
          <cell r="F64" t="str">
            <v>Fox Hill Primary</v>
          </cell>
          <cell r="G64">
            <v>7.5601374570446703E-2</v>
          </cell>
          <cell r="H64">
            <v>0.70103092783505205</v>
          </cell>
          <cell r="I64">
            <v>3.09278350515464E-2</v>
          </cell>
          <cell r="J64">
            <v>6.8728522336769802E-3</v>
          </cell>
          <cell r="K64">
            <v>5.8419243986254303E-2</v>
          </cell>
          <cell r="L64">
            <v>5.1546391752577303E-2</v>
          </cell>
          <cell r="M64">
            <v>7.5601374570446703E-2</v>
          </cell>
          <cell r="N64">
            <v>1.0000000000000004</v>
          </cell>
          <cell r="P64">
            <v>21.999999999999989</v>
          </cell>
          <cell r="Q64">
            <v>204.00000000000014</v>
          </cell>
          <cell r="R64">
            <v>9.0000000000000018</v>
          </cell>
          <cell r="S64">
            <v>2.0000000000000013</v>
          </cell>
          <cell r="T64">
            <v>17.000000000000004</v>
          </cell>
          <cell r="U64">
            <v>14.999999999999995</v>
          </cell>
          <cell r="V64">
            <v>21.999999999999989</v>
          </cell>
          <cell r="W64">
            <v>291</v>
          </cell>
          <cell r="Y64">
            <v>10796.745775350842</v>
          </cell>
          <cell r="Z64">
            <v>76696.615368878149</v>
          </cell>
          <cell r="AA64">
            <v>3170.5653101378407</v>
          </cell>
          <cell r="AB64">
            <v>648.61961406068201</v>
          </cell>
          <cell r="AC64">
            <v>3500.5715782295274</v>
          </cell>
          <cell r="AD64">
            <v>2550.7173845679231</v>
          </cell>
          <cell r="AE64">
            <v>97363.835031224953</v>
          </cell>
          <cell r="AG64">
            <v>99312.598404749209</v>
          </cell>
          <cell r="AH64">
            <v>-1948.7633735242562</v>
          </cell>
          <cell r="AI64">
            <v>-2.0015269251660847E-2</v>
          </cell>
        </row>
        <row r="65">
          <cell r="E65">
            <v>2036</v>
          </cell>
          <cell r="F65" t="str">
            <v>Gleadless Primary School</v>
          </cell>
          <cell r="G65">
            <v>0.10432569974554699</v>
          </cell>
          <cell r="H65">
            <v>6.8702290076335895E-2</v>
          </cell>
          <cell r="I65">
            <v>4.0712468193384199E-2</v>
          </cell>
          <cell r="J65">
            <v>3.30788804071247E-2</v>
          </cell>
          <cell r="K65">
            <v>0.16793893129771001</v>
          </cell>
          <cell r="L65">
            <v>0.10941475826972</v>
          </cell>
          <cell r="M65">
            <v>0.47582697201017798</v>
          </cell>
          <cell r="N65">
            <v>0.99999999999999978</v>
          </cell>
          <cell r="P65">
            <v>40.999999999999972</v>
          </cell>
          <cell r="Q65">
            <v>27.000000000000007</v>
          </cell>
          <cell r="R65">
            <v>15.999999999999991</v>
          </cell>
          <cell r="S65">
            <v>13.000000000000007</v>
          </cell>
          <cell r="T65">
            <v>66.000000000000028</v>
          </cell>
          <cell r="U65">
            <v>42.999999999999957</v>
          </cell>
          <cell r="V65">
            <v>186.99999999999994</v>
          </cell>
          <cell r="W65">
            <v>393</v>
          </cell>
          <cell r="Y65">
            <v>20121.208035881111</v>
          </cell>
          <cell r="Z65">
            <v>10151.022622351515</v>
          </cell>
          <cell r="AA65">
            <v>5636.5605513561577</v>
          </cell>
          <cell r="AB65">
            <v>4216.0274913944322</v>
          </cell>
          <cell r="AC65">
            <v>13590.454362538168</v>
          </cell>
          <cell r="AD65">
            <v>7312.0565024280413</v>
          </cell>
          <cell r="AE65">
            <v>61027.329565949432</v>
          </cell>
          <cell r="AG65">
            <v>60018.360937724647</v>
          </cell>
          <cell r="AH65">
            <v>1008.9686282247858</v>
          </cell>
          <cell r="AI65">
            <v>1.6533062078923834E-2</v>
          </cell>
        </row>
        <row r="66">
          <cell r="E66">
            <v>2305</v>
          </cell>
          <cell r="F66" t="str">
            <v>Greengate Lane Academy</v>
          </cell>
          <cell r="G66">
            <v>5.3763440860215101E-3</v>
          </cell>
          <cell r="H66">
            <v>0.43548387096774199</v>
          </cell>
          <cell r="I66">
            <v>2.1505376344085999E-2</v>
          </cell>
          <cell r="J66">
            <v>0</v>
          </cell>
          <cell r="K66">
            <v>0.26881720430107497</v>
          </cell>
          <cell r="L66">
            <v>1.0752688172042999E-2</v>
          </cell>
          <cell r="M66">
            <v>0.25806451612903197</v>
          </cell>
          <cell r="N66">
            <v>0.99999999999999956</v>
          </cell>
          <cell r="P66">
            <v>1.0053763440860224</v>
          </cell>
          <cell r="Q66">
            <v>81.435483870967758</v>
          </cell>
          <cell r="R66">
            <v>4.0215053763440816</v>
          </cell>
          <cell r="S66">
            <v>0</v>
          </cell>
          <cell r="T66">
            <v>50.268817204301023</v>
          </cell>
          <cell r="U66">
            <v>2.0107526881720408</v>
          </cell>
          <cell r="V66">
            <v>48.258064516128982</v>
          </cell>
          <cell r="W66">
            <v>187</v>
          </cell>
          <cell r="Y66">
            <v>493.39967252947463</v>
          </cell>
          <cell r="Z66">
            <v>30616.794038382792</v>
          </cell>
          <cell r="AA66">
            <v>1416.7161600854849</v>
          </cell>
          <cell r="AB66">
            <v>0</v>
          </cell>
          <cell r="AC66">
            <v>10351.152516270095</v>
          </cell>
          <cell r="AD66">
            <v>341.92412251914067</v>
          </cell>
          <cell r="AE66">
            <v>43219.986509786992</v>
          </cell>
          <cell r="AG66">
            <v>41633.870738114972</v>
          </cell>
          <cell r="AH66">
            <v>1586.115771672019</v>
          </cell>
          <cell r="AI66">
            <v>3.6698664200481637E-2</v>
          </cell>
        </row>
        <row r="67">
          <cell r="E67">
            <v>2341</v>
          </cell>
          <cell r="F67" t="str">
            <v>Greenhill Primary School</v>
          </cell>
          <cell r="G67">
            <v>4.29184549356223E-3</v>
          </cell>
          <cell r="H67">
            <v>0.22103004291845499</v>
          </cell>
          <cell r="I67">
            <v>0.122317596566524</v>
          </cell>
          <cell r="J67">
            <v>9.8712446351931299E-2</v>
          </cell>
          <cell r="K67">
            <v>6.4377682403433502E-3</v>
          </cell>
          <cell r="L67">
            <v>4.29184549356223E-3</v>
          </cell>
          <cell r="M67">
            <v>0.54291845493562196</v>
          </cell>
          <cell r="N67">
            <v>1</v>
          </cell>
          <cell r="P67">
            <v>1.9999999999999991</v>
          </cell>
          <cell r="Q67">
            <v>103.00000000000003</v>
          </cell>
          <cell r="R67">
            <v>57.000000000000185</v>
          </cell>
          <cell r="S67">
            <v>45.999999999999986</v>
          </cell>
          <cell r="T67">
            <v>3.0000000000000013</v>
          </cell>
          <cell r="U67">
            <v>1.9999999999999991</v>
          </cell>
          <cell r="V67">
            <v>252.99999999999983</v>
          </cell>
          <cell r="W67">
            <v>466</v>
          </cell>
          <cell r="Y67">
            <v>981.52234321371293</v>
          </cell>
          <cell r="Z67">
            <v>38724.271485266887</v>
          </cell>
          <cell r="AA67">
            <v>20080.246964206388</v>
          </cell>
          <cell r="AB67">
            <v>14918.251123395672</v>
          </cell>
          <cell r="AC67">
            <v>617.74792556991679</v>
          </cell>
          <cell r="AD67">
            <v>340.09565127572301</v>
          </cell>
          <cell r="AE67">
            <v>75662.135492928297</v>
          </cell>
          <cell r="AG67">
            <v>78921.050903162788</v>
          </cell>
          <cell r="AH67">
            <v>-3258.915410234491</v>
          </cell>
          <cell r="AI67">
            <v>-4.3071945947640917E-2</v>
          </cell>
        </row>
        <row r="68">
          <cell r="E68">
            <v>2296</v>
          </cell>
          <cell r="F68" t="str">
            <v>Grenoside Community Primary School</v>
          </cell>
          <cell r="G68">
            <v>4.4585987261146501E-2</v>
          </cell>
          <cell r="H68">
            <v>0.25796178343949</v>
          </cell>
          <cell r="I68">
            <v>1.27388535031847E-2</v>
          </cell>
          <cell r="J68">
            <v>9.5541401273885294E-3</v>
          </cell>
          <cell r="K68">
            <v>2.54777070063694E-2</v>
          </cell>
          <cell r="L68">
            <v>3.5031847133758003E-2</v>
          </cell>
          <cell r="M68">
            <v>0.61464968152866195</v>
          </cell>
          <cell r="N68">
            <v>0.99999999999999911</v>
          </cell>
          <cell r="P68">
            <v>14.000000000000002</v>
          </cell>
          <cell r="Q68">
            <v>80.999999999999858</v>
          </cell>
          <cell r="R68">
            <v>3.999999999999996</v>
          </cell>
          <cell r="S68">
            <v>2.9999999999999982</v>
          </cell>
          <cell r="T68">
            <v>7.999999999999992</v>
          </cell>
          <cell r="U68">
            <v>11.000000000000012</v>
          </cell>
          <cell r="V68">
            <v>192.99999999999986</v>
          </cell>
          <cell r="W68">
            <v>314</v>
          </cell>
          <cell r="Y68">
            <v>6870.6564024959944</v>
          </cell>
          <cell r="Z68">
            <v>30453.067867054484</v>
          </cell>
          <cell r="AA68">
            <v>1409.1401378390387</v>
          </cell>
          <cell r="AB68">
            <v>972.92942109102171</v>
          </cell>
          <cell r="AC68">
            <v>1647.3278015197757</v>
          </cell>
          <cell r="AD68">
            <v>1870.5260820164797</v>
          </cell>
          <cell r="AE68">
            <v>43223.647712016791</v>
          </cell>
          <cell r="AG68">
            <v>41158.209759033736</v>
          </cell>
          <cell r="AH68">
            <v>2065.4379529830549</v>
          </cell>
          <cell r="AI68">
            <v>4.7784906233372657E-2</v>
          </cell>
        </row>
        <row r="69">
          <cell r="E69">
            <v>2356</v>
          </cell>
          <cell r="F69" t="str">
            <v>Greystones Primary School</v>
          </cell>
          <cell r="G69">
            <v>6.4000000000000003E-3</v>
          </cell>
          <cell r="H69">
            <v>1.12E-2</v>
          </cell>
          <cell r="I69">
            <v>1.2800000000000001E-2</v>
          </cell>
          <cell r="J69">
            <v>4.7999999999999996E-3</v>
          </cell>
          <cell r="K69">
            <v>1.12E-2</v>
          </cell>
          <cell r="L69">
            <v>1.44E-2</v>
          </cell>
          <cell r="M69">
            <v>0.93920000000000003</v>
          </cell>
          <cell r="N69">
            <v>1</v>
          </cell>
          <cell r="P69">
            <v>4</v>
          </cell>
          <cell r="Q69">
            <v>7</v>
          </cell>
          <cell r="R69">
            <v>8</v>
          </cell>
          <cell r="S69">
            <v>2.9999999999999996</v>
          </cell>
          <cell r="T69">
            <v>7</v>
          </cell>
          <cell r="U69">
            <v>9</v>
          </cell>
          <cell r="V69">
            <v>587</v>
          </cell>
          <cell r="W69">
            <v>625</v>
          </cell>
          <cell r="Y69">
            <v>1963.0446864274268</v>
          </cell>
          <cell r="Z69">
            <v>2631.7466057948363</v>
          </cell>
          <cell r="AA69">
            <v>2818.2802756780802</v>
          </cell>
          <cell r="AB69">
            <v>972.92942109102216</v>
          </cell>
          <cell r="AC69">
            <v>1441.4118263298051</v>
          </cell>
          <cell r="AD69">
            <v>1530.4304307407542</v>
          </cell>
          <cell r="AE69">
            <v>11357.843246061926</v>
          </cell>
          <cell r="AG69">
            <v>10642.431011637782</v>
          </cell>
          <cell r="AH69">
            <v>715.41223442414412</v>
          </cell>
          <cell r="AI69">
            <v>6.2988387753299652E-2</v>
          </cell>
        </row>
        <row r="70">
          <cell r="E70">
            <v>2279</v>
          </cell>
          <cell r="F70" t="str">
            <v>Halfway Junior School</v>
          </cell>
          <cell r="G70">
            <v>1.4218009478673001E-2</v>
          </cell>
          <cell r="H70">
            <v>2.3696682464454999E-2</v>
          </cell>
          <cell r="I70">
            <v>9.4786729857819895E-3</v>
          </cell>
          <cell r="J70">
            <v>9.4786729857819895E-3</v>
          </cell>
          <cell r="K70">
            <v>0.184834123222749</v>
          </cell>
          <cell r="L70">
            <v>0.175355450236967</v>
          </cell>
          <cell r="M70">
            <v>0.582938388625592</v>
          </cell>
          <cell r="N70">
            <v>1</v>
          </cell>
          <cell r="P70">
            <v>3.0000000000000031</v>
          </cell>
          <cell r="Q70">
            <v>5.0000000000000044</v>
          </cell>
          <cell r="R70">
            <v>1.9999999999999998</v>
          </cell>
          <cell r="S70">
            <v>1.9999999999999998</v>
          </cell>
          <cell r="T70">
            <v>39.000000000000043</v>
          </cell>
          <cell r="U70">
            <v>37.000000000000036</v>
          </cell>
          <cell r="V70">
            <v>122.99999999999991</v>
          </cell>
          <cell r="W70">
            <v>211</v>
          </cell>
          <cell r="Y70">
            <v>1472.2835148205716</v>
          </cell>
          <cell r="Z70">
            <v>1879.8190041391706</v>
          </cell>
          <cell r="AA70">
            <v>704.57006891951994</v>
          </cell>
          <cell r="AB70">
            <v>648.61961406068144</v>
          </cell>
          <cell r="AC70">
            <v>8030.7230324089232</v>
          </cell>
          <cell r="AD70">
            <v>6291.7695486008852</v>
          </cell>
          <cell r="AE70">
            <v>19027.784782949751</v>
          </cell>
          <cell r="AG70">
            <v>20716.389145837093</v>
          </cell>
          <cell r="AH70">
            <v>-1688.6043628873413</v>
          </cell>
          <cell r="AI70">
            <v>-8.8744138224668742E-2</v>
          </cell>
        </row>
        <row r="71">
          <cell r="E71">
            <v>2252</v>
          </cell>
          <cell r="F71" t="str">
            <v>Halfway Nursery Infant School</v>
          </cell>
          <cell r="G71">
            <v>6.41025641025641E-3</v>
          </cell>
          <cell r="H71">
            <v>6.4102564102564097E-2</v>
          </cell>
          <cell r="I71">
            <v>0</v>
          </cell>
          <cell r="J71">
            <v>0</v>
          </cell>
          <cell r="K71">
            <v>0.134615384615385</v>
          </cell>
          <cell r="L71">
            <v>0.230769230769231</v>
          </cell>
          <cell r="M71">
            <v>0.56410256410256399</v>
          </cell>
          <cell r="N71">
            <v>1.0000000000000004</v>
          </cell>
          <cell r="P71">
            <v>1</v>
          </cell>
          <cell r="Q71">
            <v>10</v>
          </cell>
          <cell r="R71">
            <v>0</v>
          </cell>
          <cell r="S71">
            <v>0</v>
          </cell>
          <cell r="T71">
            <v>21.00000000000006</v>
          </cell>
          <cell r="U71">
            <v>36.000000000000036</v>
          </cell>
          <cell r="V71">
            <v>87.999999999999986</v>
          </cell>
          <cell r="W71">
            <v>156</v>
          </cell>
          <cell r="Y71">
            <v>490.76117160685669</v>
          </cell>
          <cell r="Z71">
            <v>3759.638008278338</v>
          </cell>
          <cell r="AA71">
            <v>0</v>
          </cell>
          <cell r="AB71">
            <v>0</v>
          </cell>
          <cell r="AC71">
            <v>4324.235478989428</v>
          </cell>
          <cell r="AD71">
            <v>6121.7217229630232</v>
          </cell>
          <cell r="AE71">
            <v>14696.356381837646</v>
          </cell>
          <cell r="AG71">
            <v>12440.661542310583</v>
          </cell>
          <cell r="AH71">
            <v>2255.6948395270629</v>
          </cell>
          <cell r="AI71">
            <v>0.15348667254114373</v>
          </cell>
        </row>
        <row r="72">
          <cell r="E72">
            <v>2357</v>
          </cell>
          <cell r="F72" t="str">
            <v>Hallam Primary School</v>
          </cell>
          <cell r="G72">
            <v>1.1217948717948701E-2</v>
          </cell>
          <cell r="H72">
            <v>8.0128205128205104E-3</v>
          </cell>
          <cell r="I72">
            <v>1.1217948717948701E-2</v>
          </cell>
          <cell r="J72">
            <v>3.2051282051282098E-3</v>
          </cell>
          <cell r="K72">
            <v>1.44230769230769E-2</v>
          </cell>
          <cell r="L72">
            <v>8.0128205128205104E-3</v>
          </cell>
          <cell r="M72">
            <v>0.94391025641025605</v>
          </cell>
          <cell r="N72">
            <v>0.99999999999999956</v>
          </cell>
          <cell r="P72">
            <v>6.9999999999999893</v>
          </cell>
          <cell r="Q72">
            <v>4.9999999999999982</v>
          </cell>
          <cell r="R72">
            <v>6.9999999999999893</v>
          </cell>
          <cell r="S72">
            <v>2.0000000000000031</v>
          </cell>
          <cell r="T72">
            <v>8.9999999999999858</v>
          </cell>
          <cell r="U72">
            <v>4.9999999999999982</v>
          </cell>
          <cell r="V72">
            <v>588.99999999999977</v>
          </cell>
          <cell r="W72">
            <v>624</v>
          </cell>
          <cell r="Y72">
            <v>3435.3282012479917</v>
          </cell>
          <cell r="Z72">
            <v>1879.8190041391683</v>
          </cell>
          <cell r="AA72">
            <v>2465.9952412183166</v>
          </cell>
          <cell r="AB72">
            <v>648.61961406068258</v>
          </cell>
          <cell r="AC72">
            <v>1853.2437767097465</v>
          </cell>
          <cell r="AD72">
            <v>850.23912818930762</v>
          </cell>
          <cell r="AE72">
            <v>11133.244965565213</v>
          </cell>
          <cell r="AG72">
            <v>11311.450112296692</v>
          </cell>
          <cell r="AH72">
            <v>-178.20514673147954</v>
          </cell>
          <cell r="AI72">
            <v>-1.6006577353023545E-2</v>
          </cell>
        </row>
        <row r="73">
          <cell r="E73">
            <v>2050</v>
          </cell>
          <cell r="F73" t="str">
            <v>Hartley Brook Primary School</v>
          </cell>
          <cell r="G73">
            <v>0.26767676767676801</v>
          </cell>
          <cell r="H73">
            <v>0.55387205387205396</v>
          </cell>
          <cell r="I73">
            <v>0.14646464646464599</v>
          </cell>
          <cell r="J73">
            <v>1.68350168350168E-3</v>
          </cell>
          <cell r="K73">
            <v>1.68350168350168E-3</v>
          </cell>
          <cell r="L73">
            <v>3.3670033670033699E-3</v>
          </cell>
          <cell r="M73">
            <v>2.5252525252525301E-2</v>
          </cell>
          <cell r="N73">
            <v>1</v>
          </cell>
          <cell r="P73">
            <v>159.0000000000002</v>
          </cell>
          <cell r="Q73">
            <v>329.00000000000006</v>
          </cell>
          <cell r="R73">
            <v>86.999999999999716</v>
          </cell>
          <cell r="S73">
            <v>0.99999999999999789</v>
          </cell>
          <cell r="T73">
            <v>0.99999999999999789</v>
          </cell>
          <cell r="U73">
            <v>2.0000000000000018</v>
          </cell>
          <cell r="V73">
            <v>15.000000000000028</v>
          </cell>
          <cell r="W73">
            <v>594</v>
          </cell>
          <cell r="Y73">
            <v>78031.026285490312</v>
          </cell>
          <cell r="Z73">
            <v>123692.09047235733</v>
          </cell>
          <cell r="AA73">
            <v>30648.797997999023</v>
          </cell>
          <cell r="AB73">
            <v>324.3098070303401</v>
          </cell>
          <cell r="AC73">
            <v>205.91597518997173</v>
          </cell>
          <cell r="AD73">
            <v>340.09565127572347</v>
          </cell>
          <cell r="AE73">
            <v>233242.23618934272</v>
          </cell>
          <cell r="AG73">
            <v>233298.17517081561</v>
          </cell>
          <cell r="AH73">
            <v>-55.93898147289292</v>
          </cell>
          <cell r="AI73">
            <v>-2.3983212640562429E-4</v>
          </cell>
        </row>
        <row r="74">
          <cell r="E74">
            <v>2049</v>
          </cell>
          <cell r="F74" t="str">
            <v>Hatfield Academy</v>
          </cell>
          <cell r="G74">
            <v>9.4339622641509399E-2</v>
          </cell>
          <cell r="H74">
            <v>0.52830188679245305</v>
          </cell>
          <cell r="I74">
            <v>0.32884097035040399</v>
          </cell>
          <cell r="J74">
            <v>0</v>
          </cell>
          <cell r="K74">
            <v>1.07816711590297E-2</v>
          </cell>
          <cell r="L74">
            <v>1.88679245283019E-2</v>
          </cell>
          <cell r="M74">
            <v>1.88679245283019E-2</v>
          </cell>
          <cell r="N74">
            <v>0.99999999999999989</v>
          </cell>
          <cell r="P74">
            <v>34.999999999999986</v>
          </cell>
          <cell r="Q74">
            <v>196.00000000000009</v>
          </cell>
          <cell r="R74">
            <v>121.99999999999989</v>
          </cell>
          <cell r="S74">
            <v>0</v>
          </cell>
          <cell r="T74">
            <v>4.0000000000000187</v>
          </cell>
          <cell r="U74">
            <v>7.0000000000000044</v>
          </cell>
          <cell r="V74">
            <v>7.0000000000000044</v>
          </cell>
          <cell r="W74">
            <v>371</v>
          </cell>
          <cell r="Y74">
            <v>17176.641006239977</v>
          </cell>
          <cell r="Z74">
            <v>73688.904962255459</v>
          </cell>
          <cell r="AA74">
            <v>42978.774204090681</v>
          </cell>
          <cell r="AB74">
            <v>0</v>
          </cell>
          <cell r="AC74">
            <v>823.6639007598925</v>
          </cell>
          <cell r="AD74">
            <v>1190.3347794650319</v>
          </cell>
          <cell r="AE74">
            <v>135858.31885281103</v>
          </cell>
          <cell r="AG74">
            <v>136267.20260068332</v>
          </cell>
          <cell r="AH74">
            <v>-408.88374787228531</v>
          </cell>
          <cell r="AI74">
            <v>-3.0096335014661133E-3</v>
          </cell>
        </row>
        <row r="75">
          <cell r="E75">
            <v>2297</v>
          </cell>
          <cell r="F75" t="str">
            <v>High Green Primary School</v>
          </cell>
          <cell r="G75">
            <v>0</v>
          </cell>
          <cell r="H75">
            <v>0.12562814070351799</v>
          </cell>
          <cell r="I75">
            <v>1.00502512562814E-2</v>
          </cell>
          <cell r="J75">
            <v>0</v>
          </cell>
          <cell r="K75">
            <v>0.185929648241206</v>
          </cell>
          <cell r="L75">
            <v>0</v>
          </cell>
          <cell r="M75">
            <v>0.67839195979899503</v>
          </cell>
          <cell r="N75">
            <v>1.0000000000000004</v>
          </cell>
          <cell r="P75">
            <v>0</v>
          </cell>
          <cell r="Q75">
            <v>25.000000000000082</v>
          </cell>
          <cell r="R75">
            <v>1.9999999999999987</v>
          </cell>
          <cell r="S75">
            <v>0</v>
          </cell>
          <cell r="T75">
            <v>36.999999999999993</v>
          </cell>
          <cell r="U75">
            <v>0</v>
          </cell>
          <cell r="V75">
            <v>135</v>
          </cell>
          <cell r="W75">
            <v>199</v>
          </cell>
          <cell r="Y75">
            <v>0</v>
          </cell>
          <cell r="Z75">
            <v>9399.0950206958751</v>
          </cell>
          <cell r="AA75">
            <v>704.5700689195196</v>
          </cell>
          <cell r="AB75">
            <v>0</v>
          </cell>
          <cell r="AC75">
            <v>7618.8910820289684</v>
          </cell>
          <cell r="AD75">
            <v>0</v>
          </cell>
          <cell r="AE75">
            <v>17722.556171644363</v>
          </cell>
          <cell r="AG75">
            <v>22185.910869827741</v>
          </cell>
          <cell r="AH75">
            <v>-4463.3546981833788</v>
          </cell>
          <cell r="AI75">
            <v>-0.25184598965044513</v>
          </cell>
        </row>
        <row r="76">
          <cell r="E76">
            <v>2042</v>
          </cell>
          <cell r="F76" t="str">
            <v>High Hazels Junior School</v>
          </cell>
          <cell r="G76">
            <v>8.5470085470085496E-3</v>
          </cell>
          <cell r="H76">
            <v>0.401709401709402</v>
          </cell>
          <cell r="I76">
            <v>1.9943019943019901E-2</v>
          </cell>
          <cell r="J76">
            <v>0.41310541310541299</v>
          </cell>
          <cell r="K76">
            <v>0.145299145299145</v>
          </cell>
          <cell r="L76">
            <v>2.84900284900285E-3</v>
          </cell>
          <cell r="M76">
            <v>8.5470085470085496E-3</v>
          </cell>
          <cell r="N76">
            <v>0.99999999999999978</v>
          </cell>
          <cell r="P76">
            <v>3.0000000000000009</v>
          </cell>
          <cell r="Q76">
            <v>141.00000000000011</v>
          </cell>
          <cell r="R76">
            <v>6.9999999999999849</v>
          </cell>
          <cell r="S76">
            <v>144.99999999999997</v>
          </cell>
          <cell r="T76">
            <v>50.999999999999893</v>
          </cell>
          <cell r="U76">
            <v>1.0000000000000004</v>
          </cell>
          <cell r="V76">
            <v>3.0000000000000009</v>
          </cell>
          <cell r="W76">
            <v>351</v>
          </cell>
          <cell r="Y76">
            <v>1472.2835148205704</v>
          </cell>
          <cell r="Z76">
            <v>53010.895916724607</v>
          </cell>
          <cell r="AA76">
            <v>2465.9952412183147</v>
          </cell>
          <cell r="AB76">
            <v>47024.922019399404</v>
          </cell>
          <cell r="AC76">
            <v>10501.714734688558</v>
          </cell>
          <cell r="AD76">
            <v>170.04782563786168</v>
          </cell>
          <cell r="AE76">
            <v>114645.8592524893</v>
          </cell>
          <cell r="AG76">
            <v>110848.34393807614</v>
          </cell>
          <cell r="AH76">
            <v>3797.5153144131618</v>
          </cell>
          <cell r="AI76">
            <v>3.3123876772991313E-2</v>
          </cell>
        </row>
        <row r="77">
          <cell r="E77">
            <v>2039</v>
          </cell>
          <cell r="F77" t="str">
            <v>High Hazels Nursery Infant Academy</v>
          </cell>
          <cell r="G77">
            <v>8.7336244541484694E-3</v>
          </cell>
          <cell r="H77">
            <v>0.39301310043668097</v>
          </cell>
          <cell r="I77">
            <v>1.31004366812227E-2</v>
          </cell>
          <cell r="J77">
            <v>0.43668122270742399</v>
          </cell>
          <cell r="K77">
            <v>0.12663755458515299</v>
          </cell>
          <cell r="L77">
            <v>4.3668122270742399E-3</v>
          </cell>
          <cell r="M77">
            <v>1.7467248908296901E-2</v>
          </cell>
          <cell r="N77">
            <v>1.0000000000000002</v>
          </cell>
          <cell r="P77">
            <v>1.9999999999999996</v>
          </cell>
          <cell r="Q77">
            <v>89.999999999999943</v>
          </cell>
          <cell r="R77">
            <v>2.9999999999999982</v>
          </cell>
          <cell r="S77">
            <v>100.0000000000001</v>
          </cell>
          <cell r="T77">
            <v>29.000000000000036</v>
          </cell>
          <cell r="U77">
            <v>1.0000000000000009</v>
          </cell>
          <cell r="V77">
            <v>3.9999999999999902</v>
          </cell>
          <cell r="W77">
            <v>229</v>
          </cell>
          <cell r="Y77">
            <v>981.52234321371316</v>
          </cell>
          <cell r="Z77">
            <v>33836.742074505019</v>
          </cell>
          <cell r="AA77">
            <v>1056.8551033792794</v>
          </cell>
          <cell r="AB77">
            <v>32430.980703034111</v>
          </cell>
          <cell r="AC77">
            <v>5971.5632805092</v>
          </cell>
          <cell r="AD77">
            <v>170.04782563786173</v>
          </cell>
          <cell r="AE77">
            <v>74447.711330279184</v>
          </cell>
          <cell r="AG77">
            <v>74736.781152220865</v>
          </cell>
          <cell r="AH77">
            <v>-289.06982194168086</v>
          </cell>
          <cell r="AI77">
            <v>-3.8828570654006272E-3</v>
          </cell>
        </row>
        <row r="78">
          <cell r="E78">
            <v>2339</v>
          </cell>
          <cell r="F78" t="str">
            <v>Hillsborough Primary School</v>
          </cell>
          <cell r="G78">
            <v>0.123919308357349</v>
          </cell>
          <cell r="H78">
            <v>0.31412103746397702</v>
          </cell>
          <cell r="I78">
            <v>0.146974063400576</v>
          </cell>
          <cell r="J78">
            <v>0</v>
          </cell>
          <cell r="K78">
            <v>6.0518731988472602E-2</v>
          </cell>
          <cell r="L78">
            <v>2.8818443804034602E-3</v>
          </cell>
          <cell r="M78">
            <v>0.35158501440922202</v>
          </cell>
          <cell r="N78">
            <v>1.0000000000000002</v>
          </cell>
          <cell r="P78">
            <v>43.000000000000107</v>
          </cell>
          <cell r="Q78">
            <v>109.00000000000003</v>
          </cell>
          <cell r="R78">
            <v>50.999999999999872</v>
          </cell>
          <cell r="S78">
            <v>0</v>
          </cell>
          <cell r="T78">
            <v>20.999999999999993</v>
          </cell>
          <cell r="U78">
            <v>1.0000000000000007</v>
          </cell>
          <cell r="V78">
            <v>122.00000000000004</v>
          </cell>
          <cell r="W78">
            <v>347</v>
          </cell>
          <cell r="Y78">
            <v>21102.73037909489</v>
          </cell>
          <cell r="Z78">
            <v>40980.054290233893</v>
          </cell>
          <cell r="AA78">
            <v>17966.536757447717</v>
          </cell>
          <cell r="AB78">
            <v>0</v>
          </cell>
          <cell r="AC78">
            <v>4324.2354789894134</v>
          </cell>
          <cell r="AD78">
            <v>170.04782563786171</v>
          </cell>
          <cell r="AE78">
            <v>84543.604731403771</v>
          </cell>
          <cell r="AG78">
            <v>82179.140955526818</v>
          </cell>
          <cell r="AH78">
            <v>2364.4637758769532</v>
          </cell>
          <cell r="AI78">
            <v>2.7967387756754496E-2</v>
          </cell>
        </row>
        <row r="79">
          <cell r="E79">
            <v>2213</v>
          </cell>
          <cell r="F79" t="str">
            <v>Holt House Infant School</v>
          </cell>
          <cell r="G79">
            <v>0</v>
          </cell>
          <cell r="H79">
            <v>3.91061452513966E-2</v>
          </cell>
          <cell r="I79">
            <v>0</v>
          </cell>
          <cell r="J79">
            <v>5.5865921787709499E-3</v>
          </cell>
          <cell r="K79">
            <v>1.67597765363128E-2</v>
          </cell>
          <cell r="L79">
            <v>3.3519553072625698E-2</v>
          </cell>
          <cell r="M79">
            <v>0.90502793296089401</v>
          </cell>
          <cell r="N79">
            <v>1</v>
          </cell>
          <cell r="P79">
            <v>0</v>
          </cell>
          <cell r="Q79">
            <v>6.9999999999999911</v>
          </cell>
          <cell r="R79">
            <v>0</v>
          </cell>
          <cell r="S79">
            <v>1</v>
          </cell>
          <cell r="T79">
            <v>2.9999999999999911</v>
          </cell>
          <cell r="U79">
            <v>6</v>
          </cell>
          <cell r="V79">
            <v>162.00000000000003</v>
          </cell>
          <cell r="W79">
            <v>179</v>
          </cell>
          <cell r="Y79">
            <v>0</v>
          </cell>
          <cell r="Z79">
            <v>2631.7466057948332</v>
          </cell>
          <cell r="AA79">
            <v>0</v>
          </cell>
          <cell r="AB79">
            <v>324.30980703034078</v>
          </cell>
          <cell r="AC79">
            <v>617.74792556991463</v>
          </cell>
          <cell r="AD79">
            <v>1020.2869538271696</v>
          </cell>
          <cell r="AE79">
            <v>4594.0912922222578</v>
          </cell>
          <cell r="AG79">
            <v>1717.0201196101652</v>
          </cell>
          <cell r="AH79">
            <v>2877.0711726120926</v>
          </cell>
          <cell r="AI79">
            <v>0.62625468011115493</v>
          </cell>
        </row>
        <row r="80">
          <cell r="E80">
            <v>2337</v>
          </cell>
          <cell r="F80" t="str">
            <v>Hucklow Primary School</v>
          </cell>
          <cell r="G80">
            <v>3.1476997578692503E-2</v>
          </cell>
          <cell r="H80">
            <v>0.46731234866828097</v>
          </cell>
          <cell r="I80">
            <v>0.34624697336561699</v>
          </cell>
          <cell r="J80">
            <v>0</v>
          </cell>
          <cell r="K80">
            <v>3.3898305084745797E-2</v>
          </cell>
          <cell r="L80">
            <v>0.11864406779661001</v>
          </cell>
          <cell r="M80">
            <v>2.4213075060532702E-3</v>
          </cell>
          <cell r="N80">
            <v>0.99999999999999956</v>
          </cell>
          <cell r="P80">
            <v>13.000000000000004</v>
          </cell>
          <cell r="Q80">
            <v>193.00000000000003</v>
          </cell>
          <cell r="R80">
            <v>142.99999999999983</v>
          </cell>
          <cell r="S80">
            <v>0</v>
          </cell>
          <cell r="T80">
            <v>14.000000000000014</v>
          </cell>
          <cell r="U80">
            <v>48.999999999999929</v>
          </cell>
          <cell r="V80">
            <v>1.0000000000000007</v>
          </cell>
          <cell r="W80">
            <v>413</v>
          </cell>
          <cell r="Y80">
            <v>6379.8952308891385</v>
          </cell>
          <cell r="Z80">
            <v>72561.013559771935</v>
          </cell>
          <cell r="AA80">
            <v>50376.759927745625</v>
          </cell>
          <cell r="AB80">
            <v>0</v>
          </cell>
          <cell r="AC80">
            <v>2882.8236526596133</v>
          </cell>
          <cell r="AD80">
            <v>8332.3434562552065</v>
          </cell>
          <cell r="AE80">
            <v>140532.83582732151</v>
          </cell>
          <cell r="AG80">
            <v>139024.48941438171</v>
          </cell>
          <cell r="AH80">
            <v>1508.3464129398053</v>
          </cell>
          <cell r="AI80">
            <v>1.073305326872627E-2</v>
          </cell>
        </row>
        <row r="81">
          <cell r="E81">
            <v>2060</v>
          </cell>
          <cell r="F81" t="str">
            <v>Hunter's Bar Infant School</v>
          </cell>
          <cell r="G81">
            <v>7.4906367041198503E-3</v>
          </cell>
          <cell r="H81">
            <v>4.11985018726592E-2</v>
          </cell>
          <cell r="I81">
            <v>1.4981273408239701E-2</v>
          </cell>
          <cell r="J81">
            <v>2.2471910112359599E-2</v>
          </cell>
          <cell r="K81">
            <v>1.1235955056179799E-2</v>
          </cell>
          <cell r="L81">
            <v>1.1235955056179799E-2</v>
          </cell>
          <cell r="M81">
            <v>0.89138576779026202</v>
          </cell>
          <cell r="N81">
            <v>1</v>
          </cell>
          <cell r="P81">
            <v>2</v>
          </cell>
          <cell r="Q81">
            <v>11.000000000000007</v>
          </cell>
          <cell r="R81">
            <v>4</v>
          </cell>
          <cell r="S81">
            <v>6.0000000000000124</v>
          </cell>
          <cell r="T81">
            <v>3.0000000000000062</v>
          </cell>
          <cell r="U81">
            <v>3.0000000000000062</v>
          </cell>
          <cell r="V81">
            <v>237.99999999999997</v>
          </cell>
          <cell r="W81">
            <v>267</v>
          </cell>
          <cell r="Y81">
            <v>981.52234321371338</v>
          </cell>
          <cell r="Z81">
            <v>4135.6018091061742</v>
          </cell>
          <cell r="AA81">
            <v>1409.1401378390401</v>
          </cell>
          <cell r="AB81">
            <v>1945.8588421820486</v>
          </cell>
          <cell r="AC81">
            <v>617.74792556991781</v>
          </cell>
          <cell r="AD81">
            <v>510.14347691358586</v>
          </cell>
          <cell r="AE81">
            <v>9600.0145348244823</v>
          </cell>
          <cell r="AG81">
            <v>10363.995316565877</v>
          </cell>
          <cell r="AH81">
            <v>-763.98078174139482</v>
          </cell>
          <cell r="AI81">
            <v>-7.9581210941923095E-2</v>
          </cell>
        </row>
        <row r="82">
          <cell r="E82">
            <v>2058</v>
          </cell>
          <cell r="F82" t="str">
            <v>Hunter's Bar Junior School</v>
          </cell>
          <cell r="G82">
            <v>8.2872928176795594E-3</v>
          </cell>
          <cell r="H82">
            <v>8.8397790055248601E-2</v>
          </cell>
          <cell r="I82">
            <v>1.93370165745856E-2</v>
          </cell>
          <cell r="J82">
            <v>1.38121546961326E-2</v>
          </cell>
          <cell r="K82">
            <v>2.7624309392265199E-2</v>
          </cell>
          <cell r="L82">
            <v>3.3149171270718203E-2</v>
          </cell>
          <cell r="M82">
            <v>0.80939226519337004</v>
          </cell>
          <cell r="N82">
            <v>0.99999999999999978</v>
          </cell>
          <cell r="P82">
            <v>3.0000000000000004</v>
          </cell>
          <cell r="Q82">
            <v>31.999999999999993</v>
          </cell>
          <cell r="R82">
            <v>6.9999999999999876</v>
          </cell>
          <cell r="S82">
            <v>5.0000000000000009</v>
          </cell>
          <cell r="T82">
            <v>10.000000000000002</v>
          </cell>
          <cell r="U82">
            <v>11.999999999999989</v>
          </cell>
          <cell r="V82">
            <v>292.99999999999994</v>
          </cell>
          <cell r="W82">
            <v>362</v>
          </cell>
          <cell r="Y82">
            <v>1472.2835148205702</v>
          </cell>
          <cell r="Z82">
            <v>12030.841626490679</v>
          </cell>
          <cell r="AA82">
            <v>2465.9952412183156</v>
          </cell>
          <cell r="AB82">
            <v>1621.5490351517042</v>
          </cell>
          <cell r="AC82">
            <v>2059.1597518997219</v>
          </cell>
          <cell r="AD82">
            <v>2040.5739076543373</v>
          </cell>
          <cell r="AE82">
            <v>21690.403077235329</v>
          </cell>
          <cell r="AG82">
            <v>20147.916268398581</v>
          </cell>
          <cell r="AH82">
            <v>1542.4868088367475</v>
          </cell>
          <cell r="AI82">
            <v>7.1113791815866689E-2</v>
          </cell>
        </row>
        <row r="83">
          <cell r="E83">
            <v>2063</v>
          </cell>
          <cell r="F83" t="str">
            <v>Intake Primary School</v>
          </cell>
          <cell r="G83">
            <v>5.37897310513447E-2</v>
          </cell>
          <cell r="H83">
            <v>7.0904645476772596E-2</v>
          </cell>
          <cell r="I83">
            <v>9.7799511002445005E-3</v>
          </cell>
          <cell r="J83">
            <v>0.107579462102689</v>
          </cell>
          <cell r="K83">
            <v>4.1564792176039103E-2</v>
          </cell>
          <cell r="L83">
            <v>0.31784841075794601</v>
          </cell>
          <cell r="M83">
            <v>0.398533007334963</v>
          </cell>
          <cell r="N83">
            <v>0.99999999999999889</v>
          </cell>
          <cell r="P83">
            <v>21.999999999999982</v>
          </cell>
          <cell r="Q83">
            <v>28.999999999999993</v>
          </cell>
          <cell r="R83">
            <v>4.0000000000000009</v>
          </cell>
          <cell r="S83">
            <v>43.999999999999801</v>
          </cell>
          <cell r="T83">
            <v>16.999999999999993</v>
          </cell>
          <cell r="U83">
            <v>129.99999999999991</v>
          </cell>
          <cell r="V83">
            <v>162.99999999999986</v>
          </cell>
          <cell r="W83">
            <v>409</v>
          </cell>
          <cell r="Y83">
            <v>10796.745775350839</v>
          </cell>
          <cell r="Z83">
            <v>10902.950224007176</v>
          </cell>
          <cell r="AA83">
            <v>1409.1401378390403</v>
          </cell>
          <cell r="AB83">
            <v>14269.631509334929</v>
          </cell>
          <cell r="AC83">
            <v>3500.5715782295251</v>
          </cell>
          <cell r="AD83">
            <v>22106.217332921991</v>
          </cell>
          <cell r="AE83">
            <v>62985.256557683504</v>
          </cell>
          <cell r="AG83">
            <v>59527.23130891734</v>
          </cell>
          <cell r="AH83">
            <v>3458.0252487661637</v>
          </cell>
          <cell r="AI83">
            <v>5.4902138020176454E-2</v>
          </cell>
        </row>
        <row r="84">
          <cell r="E84">
            <v>2261</v>
          </cell>
          <cell r="F84" t="str">
            <v>Limpsfield Junior School</v>
          </cell>
          <cell r="G84">
            <v>2.1276595744680899E-2</v>
          </cell>
          <cell r="H84">
            <v>7.2340425531914901E-2</v>
          </cell>
          <cell r="I84">
            <v>0.36170212765957399</v>
          </cell>
          <cell r="J84">
            <v>8.5106382978723406E-3</v>
          </cell>
          <cell r="K84">
            <v>0.30638297872340398</v>
          </cell>
          <cell r="L84">
            <v>5.1063829787233998E-2</v>
          </cell>
          <cell r="M84">
            <v>0.17872340425531899</v>
          </cell>
          <cell r="N84">
            <v>0.999999999999999</v>
          </cell>
          <cell r="P84">
            <v>5.0000000000000115</v>
          </cell>
          <cell r="Q84">
            <v>17</v>
          </cell>
          <cell r="R84">
            <v>84.999999999999886</v>
          </cell>
          <cell r="S84">
            <v>2</v>
          </cell>
          <cell r="T84">
            <v>71.999999999999929</v>
          </cell>
          <cell r="U84">
            <v>11.999999999999989</v>
          </cell>
          <cell r="V84">
            <v>41.999999999999964</v>
          </cell>
          <cell r="W84">
            <v>235</v>
          </cell>
          <cell r="Y84">
            <v>2453.805858034289</v>
          </cell>
          <cell r="Z84">
            <v>6391.3846140731739</v>
          </cell>
          <cell r="AA84">
            <v>29944.227929079563</v>
          </cell>
          <cell r="AB84">
            <v>648.61961406068156</v>
          </cell>
          <cell r="AC84">
            <v>14825.950213677981</v>
          </cell>
          <cell r="AD84">
            <v>2040.5739076543373</v>
          </cell>
          <cell r="AE84">
            <v>56304.562136580033</v>
          </cell>
          <cell r="AG84">
            <v>52086.810790606629</v>
          </cell>
          <cell r="AH84">
            <v>4217.7513459734037</v>
          </cell>
          <cell r="AI84">
            <v>7.4909584337806409E-2</v>
          </cell>
        </row>
        <row r="85">
          <cell r="E85">
            <v>2315</v>
          </cell>
          <cell r="F85" t="str">
            <v>Lound Infant School</v>
          </cell>
          <cell r="G85">
            <v>1.37931034482759E-2</v>
          </cell>
          <cell r="H85">
            <v>7.5862068965517199E-2</v>
          </cell>
          <cell r="I85">
            <v>0</v>
          </cell>
          <cell r="J85">
            <v>0</v>
          </cell>
          <cell r="K85">
            <v>2.7586206896551699E-2</v>
          </cell>
          <cell r="L85">
            <v>1.37931034482759E-2</v>
          </cell>
          <cell r="M85">
            <v>0.86896551724137905</v>
          </cell>
          <cell r="N85">
            <v>0.99999999999999978</v>
          </cell>
          <cell r="P85">
            <v>2.0000000000000053</v>
          </cell>
          <cell r="Q85">
            <v>10.999999999999995</v>
          </cell>
          <cell r="R85">
            <v>0</v>
          </cell>
          <cell r="S85">
            <v>0</v>
          </cell>
          <cell r="T85">
            <v>3.9999999999999964</v>
          </cell>
          <cell r="U85">
            <v>2.0000000000000053</v>
          </cell>
          <cell r="V85">
            <v>125.99999999999996</v>
          </cell>
          <cell r="W85">
            <v>145</v>
          </cell>
          <cell r="Y85">
            <v>981.522343213716</v>
          </cell>
          <cell r="Z85">
            <v>4135.6018091061696</v>
          </cell>
          <cell r="AA85">
            <v>0</v>
          </cell>
          <cell r="AB85">
            <v>0</v>
          </cell>
          <cell r="AC85">
            <v>823.66390075988795</v>
          </cell>
          <cell r="AD85">
            <v>340.09565127572409</v>
          </cell>
          <cell r="AE85">
            <v>6280.8837043554977</v>
          </cell>
          <cell r="AG85">
            <v>6775.2685800833569</v>
          </cell>
          <cell r="AH85">
            <v>-494.38487572785925</v>
          </cell>
          <cell r="AI85">
            <v>-7.871263010092458E-2</v>
          </cell>
        </row>
        <row r="86">
          <cell r="E86">
            <v>2298</v>
          </cell>
          <cell r="F86" t="str">
            <v>Lound Junior School</v>
          </cell>
          <cell r="G86">
            <v>9.5693779904306199E-3</v>
          </cell>
          <cell r="H86">
            <v>7.6555023923445001E-2</v>
          </cell>
          <cell r="I86">
            <v>4.78468899521531E-3</v>
          </cell>
          <cell r="J86">
            <v>0</v>
          </cell>
          <cell r="K86">
            <v>3.3492822966507199E-2</v>
          </cell>
          <cell r="L86">
            <v>4.78468899521531E-3</v>
          </cell>
          <cell r="M86">
            <v>0.87081339712918704</v>
          </cell>
          <cell r="N86">
            <v>1.0000000000000004</v>
          </cell>
          <cell r="P86">
            <v>1.9999999999999996</v>
          </cell>
          <cell r="Q86">
            <v>16.000000000000004</v>
          </cell>
          <cell r="R86">
            <v>0.99999999999999978</v>
          </cell>
          <cell r="S86">
            <v>0</v>
          </cell>
          <cell r="T86">
            <v>7.0000000000000044</v>
          </cell>
          <cell r="U86">
            <v>0.99999999999999978</v>
          </cell>
          <cell r="V86">
            <v>182.00000000000009</v>
          </cell>
          <cell r="W86">
            <v>209</v>
          </cell>
          <cell r="Y86">
            <v>981.52234321371316</v>
          </cell>
          <cell r="Z86">
            <v>6015.4208132453414</v>
          </cell>
          <cell r="AA86">
            <v>352.28503445975997</v>
          </cell>
          <cell r="AB86">
            <v>0</v>
          </cell>
          <cell r="AC86">
            <v>1441.411826329806</v>
          </cell>
          <cell r="AD86">
            <v>170.04782563786156</v>
          </cell>
          <cell r="AE86">
            <v>8960.687842886482</v>
          </cell>
          <cell r="AG86">
            <v>8654.7095218188097</v>
          </cell>
          <cell r="AH86">
            <v>305.97832106767237</v>
          </cell>
          <cell r="AI86">
            <v>3.4146744807160741E-2</v>
          </cell>
        </row>
        <row r="87">
          <cell r="E87">
            <v>2029</v>
          </cell>
          <cell r="F87" t="str">
            <v>Lowedges Junior Academy</v>
          </cell>
          <cell r="G87">
            <v>1.9933554817275701E-2</v>
          </cell>
          <cell r="H87">
            <v>0.57142857142857095</v>
          </cell>
          <cell r="I87">
            <v>0.232558139534884</v>
          </cell>
          <cell r="J87">
            <v>3.32225913621262E-2</v>
          </cell>
          <cell r="K87">
            <v>9.9667774086378697E-3</v>
          </cell>
          <cell r="L87">
            <v>3.3222591362126199E-3</v>
          </cell>
          <cell r="M87">
            <v>0.12956810631229199</v>
          </cell>
          <cell r="N87">
            <v>0.99999999999999933</v>
          </cell>
          <cell r="P87">
            <v>6.0199335548172614</v>
          </cell>
          <cell r="Q87">
            <v>172.57142857142844</v>
          </cell>
          <cell r="R87">
            <v>70.232558139534973</v>
          </cell>
          <cell r="S87">
            <v>10.033222591362112</v>
          </cell>
          <cell r="T87">
            <v>3.0099667774086365</v>
          </cell>
          <cell r="U87">
            <v>1.0033222591362112</v>
          </cell>
          <cell r="V87">
            <v>39.129568106312178</v>
          </cell>
          <cell r="W87">
            <v>302</v>
          </cell>
          <cell r="Y87">
            <v>2954.3496443575491</v>
          </cell>
          <cell r="Z87">
            <v>64880.61020000327</v>
          </cell>
          <cell r="AA87">
            <v>24741.879164383179</v>
          </cell>
          <cell r="AB87">
            <v>3253.8724824971023</v>
          </cell>
          <cell r="AC87">
            <v>619.80024425951729</v>
          </cell>
          <cell r="AD87">
            <v>170.61276858017982</v>
          </cell>
          <cell r="AE87">
            <v>96621.124504080784</v>
          </cell>
          <cell r="AG87">
            <v>100549.33671860278</v>
          </cell>
          <cell r="AH87">
            <v>-3928.212214521991</v>
          </cell>
          <cell r="AI87">
            <v>-4.0655832093488865E-2</v>
          </cell>
        </row>
        <row r="88">
          <cell r="E88">
            <v>2045</v>
          </cell>
          <cell r="F88" t="str">
            <v>Lower Meadow Primary School</v>
          </cell>
          <cell r="G88">
            <v>4.4176706827309203E-2</v>
          </cell>
          <cell r="H88">
            <v>0.51405622489959801</v>
          </cell>
          <cell r="I88">
            <v>0.236947791164659</v>
          </cell>
          <cell r="J88">
            <v>1.60642570281124E-2</v>
          </cell>
          <cell r="K88">
            <v>0.160642570281124</v>
          </cell>
          <cell r="L88">
            <v>4.0160642570281103E-3</v>
          </cell>
          <cell r="M88">
            <v>2.40963855421687E-2</v>
          </cell>
          <cell r="N88">
            <v>0.99999999999999956</v>
          </cell>
          <cell r="P88">
            <v>10.999999999999991</v>
          </cell>
          <cell r="Q88">
            <v>127.9999999999999</v>
          </cell>
          <cell r="R88">
            <v>59.000000000000092</v>
          </cell>
          <cell r="S88">
            <v>3.9999999999999876</v>
          </cell>
          <cell r="T88">
            <v>39.999999999999872</v>
          </cell>
          <cell r="U88">
            <v>0.99999999999999944</v>
          </cell>
          <cell r="V88">
            <v>6.0000000000000062</v>
          </cell>
          <cell r="W88">
            <v>249</v>
          </cell>
          <cell r="Y88">
            <v>5398.3728876754194</v>
          </cell>
          <cell r="Z88">
            <v>48123.366505962687</v>
          </cell>
          <cell r="AA88">
            <v>20784.817033125873</v>
          </cell>
          <cell r="AB88">
            <v>1297.239228121359</v>
          </cell>
          <cell r="AC88">
            <v>8236.6390075988602</v>
          </cell>
          <cell r="AD88">
            <v>170.04782563786151</v>
          </cell>
          <cell r="AE88">
            <v>84010.482488122041</v>
          </cell>
          <cell r="AG88">
            <v>80116.004094513119</v>
          </cell>
          <cell r="AH88">
            <v>3894.4783936089225</v>
          </cell>
          <cell r="AI88">
            <v>4.6357053051796833E-2</v>
          </cell>
        </row>
        <row r="89">
          <cell r="E89">
            <v>2070</v>
          </cell>
          <cell r="F89" t="str">
            <v>Lowfield Community Primary School</v>
          </cell>
          <cell r="G89">
            <v>3.2876712328767099E-2</v>
          </cell>
          <cell r="H89">
            <v>0.241095890410959</v>
          </cell>
          <cell r="I89">
            <v>6.8493150684931503E-2</v>
          </cell>
          <cell r="J89">
            <v>6.3013698630137005E-2</v>
          </cell>
          <cell r="K89">
            <v>0.295890410958904</v>
          </cell>
          <cell r="L89">
            <v>0.147945205479452</v>
          </cell>
          <cell r="M89">
            <v>0.150684931506849</v>
          </cell>
          <cell r="N89">
            <v>0.99999999999999967</v>
          </cell>
          <cell r="P89">
            <v>11.999999999999991</v>
          </cell>
          <cell r="Q89">
            <v>88.000000000000028</v>
          </cell>
          <cell r="R89">
            <v>25</v>
          </cell>
          <cell r="S89">
            <v>23.000000000000007</v>
          </cell>
          <cell r="T89">
            <v>107.99999999999996</v>
          </cell>
          <cell r="U89">
            <v>53.999999999999979</v>
          </cell>
          <cell r="V89">
            <v>54.999999999999886</v>
          </cell>
          <cell r="W89">
            <v>365</v>
          </cell>
          <cell r="Y89">
            <v>5889.1340592822762</v>
          </cell>
          <cell r="Z89">
            <v>33084.814472849386</v>
          </cell>
          <cell r="AA89">
            <v>8807.1258614940016</v>
          </cell>
          <cell r="AB89">
            <v>7459.1255616978406</v>
          </cell>
          <cell r="AC89">
            <v>22238.925320516984</v>
          </cell>
          <cell r="AD89">
            <v>9182.5825844445226</v>
          </cell>
          <cell r="AE89">
            <v>86661.707860285009</v>
          </cell>
          <cell r="AG89">
            <v>87533.221638234507</v>
          </cell>
          <cell r="AH89">
            <v>-871.51377794949804</v>
          </cell>
          <cell r="AI89">
            <v>-1.0056503610043578E-2</v>
          </cell>
        </row>
        <row r="90">
          <cell r="E90">
            <v>2292</v>
          </cell>
          <cell r="F90" t="str">
            <v>Loxley Primary School</v>
          </cell>
          <cell r="G90">
            <v>9.5693779904306199E-3</v>
          </cell>
          <cell r="H90">
            <v>1.43540669856459E-2</v>
          </cell>
          <cell r="I90">
            <v>2.39234449760766E-2</v>
          </cell>
          <cell r="J90">
            <v>0</v>
          </cell>
          <cell r="K90">
            <v>4.78468899521531E-3</v>
          </cell>
          <cell r="L90">
            <v>6.6985645933014398E-2</v>
          </cell>
          <cell r="M90">
            <v>0.88038277511961704</v>
          </cell>
          <cell r="N90">
            <v>0.99999999999999989</v>
          </cell>
          <cell r="P90">
            <v>1.9999999999999996</v>
          </cell>
          <cell r="Q90">
            <v>2.9999999999999933</v>
          </cell>
          <cell r="R90">
            <v>5.0000000000000098</v>
          </cell>
          <cell r="S90">
            <v>0</v>
          </cell>
          <cell r="T90">
            <v>0.99999999999999978</v>
          </cell>
          <cell r="U90">
            <v>14.000000000000009</v>
          </cell>
          <cell r="V90">
            <v>183.99999999999997</v>
          </cell>
          <cell r="W90">
            <v>209</v>
          </cell>
          <cell r="Y90">
            <v>981.52234321371316</v>
          </cell>
          <cell r="Z90">
            <v>1127.8914024834987</v>
          </cell>
          <cell r="AA90">
            <v>1761.4251722988035</v>
          </cell>
          <cell r="AB90">
            <v>0</v>
          </cell>
          <cell r="AC90">
            <v>205.9159751899721</v>
          </cell>
          <cell r="AD90">
            <v>2380.6695589300639</v>
          </cell>
          <cell r="AE90">
            <v>6457.4244521160517</v>
          </cell>
          <cell r="AG90">
            <v>5916.7585202782693</v>
          </cell>
          <cell r="AH90">
            <v>540.66593183778241</v>
          </cell>
          <cell r="AI90">
            <v>8.3727798264927447E-2</v>
          </cell>
        </row>
        <row r="91">
          <cell r="E91">
            <v>2072</v>
          </cell>
          <cell r="F91" t="str">
            <v>Lydgate Infant School</v>
          </cell>
          <cell r="G91">
            <v>2.8089887640449398E-3</v>
          </cell>
          <cell r="H91">
            <v>1.6853932584269701E-2</v>
          </cell>
          <cell r="I91">
            <v>2.8089887640449398E-3</v>
          </cell>
          <cell r="J91">
            <v>5.6179775280898901E-3</v>
          </cell>
          <cell r="K91">
            <v>4.49438202247191E-2</v>
          </cell>
          <cell r="L91">
            <v>5.6179775280898901E-3</v>
          </cell>
          <cell r="M91">
            <v>0.92134831460674205</v>
          </cell>
          <cell r="N91">
            <v>1.0000000000000004</v>
          </cell>
          <cell r="P91">
            <v>0.99999999999999856</v>
          </cell>
          <cell r="Q91">
            <v>6.0000000000000133</v>
          </cell>
          <cell r="R91">
            <v>0.99999999999999856</v>
          </cell>
          <cell r="S91">
            <v>2.0000000000000009</v>
          </cell>
          <cell r="T91">
            <v>16</v>
          </cell>
          <cell r="U91">
            <v>2.0000000000000009</v>
          </cell>
          <cell r="V91">
            <v>328.00000000000017</v>
          </cell>
          <cell r="W91">
            <v>356</v>
          </cell>
          <cell r="Y91">
            <v>490.76117160685601</v>
          </cell>
          <cell r="Z91">
            <v>2255.7828049670079</v>
          </cell>
          <cell r="AA91">
            <v>352.28503445975952</v>
          </cell>
          <cell r="AB91">
            <v>648.6196140606819</v>
          </cell>
          <cell r="AC91">
            <v>3294.6556030395545</v>
          </cell>
          <cell r="AD91">
            <v>340.09565127572336</v>
          </cell>
          <cell r="AE91">
            <v>7382.1998794095825</v>
          </cell>
          <cell r="AG91">
            <v>10804.851833763067</v>
          </cell>
          <cell r="AH91">
            <v>-3422.6519543534841</v>
          </cell>
          <cell r="AI91">
            <v>-0.46363577392423883</v>
          </cell>
        </row>
        <row r="92">
          <cell r="E92">
            <v>2071</v>
          </cell>
          <cell r="F92" t="str">
            <v>Lydgate Junior School</v>
          </cell>
          <cell r="G92">
            <v>4.2105263157894701E-3</v>
          </cell>
          <cell r="H92">
            <v>1.26315789473684E-2</v>
          </cell>
          <cell r="I92">
            <v>2.1052631578947398E-3</v>
          </cell>
          <cell r="J92">
            <v>1.4736842105263199E-2</v>
          </cell>
          <cell r="K92">
            <v>2.1052631578947399E-2</v>
          </cell>
          <cell r="L92">
            <v>6.3157894736842104E-3</v>
          </cell>
          <cell r="M92">
            <v>0.93894736842105297</v>
          </cell>
          <cell r="N92">
            <v>1.0000000000000004</v>
          </cell>
          <cell r="P92">
            <v>1.9999999999999982</v>
          </cell>
          <cell r="Q92">
            <v>5.9999999999999902</v>
          </cell>
          <cell r="R92">
            <v>1.0000000000000013</v>
          </cell>
          <cell r="S92">
            <v>7.0000000000000195</v>
          </cell>
          <cell r="T92">
            <v>10.000000000000014</v>
          </cell>
          <cell r="U92">
            <v>3</v>
          </cell>
          <cell r="V92">
            <v>446.00000000000017</v>
          </cell>
          <cell r="W92">
            <v>475</v>
          </cell>
          <cell r="Y92">
            <v>981.52234321371247</v>
          </cell>
          <cell r="Z92">
            <v>2255.7828049669988</v>
          </cell>
          <cell r="AA92">
            <v>352.28503445976048</v>
          </cell>
          <cell r="AB92">
            <v>2270.1686492123918</v>
          </cell>
          <cell r="AC92">
            <v>2059.1597518997246</v>
          </cell>
          <cell r="AD92">
            <v>510.14347691358478</v>
          </cell>
          <cell r="AE92">
            <v>8429.0620606661723</v>
          </cell>
          <cell r="AG92">
            <v>5112.3887345149542</v>
          </cell>
          <cell r="AH92">
            <v>3316.6733261512181</v>
          </cell>
          <cell r="AI92">
            <v>0.3934807102237769</v>
          </cell>
        </row>
        <row r="93">
          <cell r="E93">
            <v>2358</v>
          </cell>
          <cell r="F93" t="str">
            <v>Malin Bridge Primary School</v>
          </cell>
          <cell r="G93">
            <v>1.91570881226054E-3</v>
          </cell>
          <cell r="H93">
            <v>3.63984674329502E-2</v>
          </cell>
          <cell r="I93">
            <v>6.8965517241379296E-2</v>
          </cell>
          <cell r="J93">
            <v>1.1494252873563199E-2</v>
          </cell>
          <cell r="K93">
            <v>1.72413793103448E-2</v>
          </cell>
          <cell r="L93">
            <v>0.15134099616858199</v>
          </cell>
          <cell r="M93">
            <v>0.71264367816092</v>
          </cell>
          <cell r="N93">
            <v>1</v>
          </cell>
          <cell r="P93">
            <v>1.0000000000000018</v>
          </cell>
          <cell r="Q93">
            <v>19.000000000000004</v>
          </cell>
          <cell r="R93">
            <v>35.999999999999993</v>
          </cell>
          <cell r="S93">
            <v>5.9999999999999902</v>
          </cell>
          <cell r="T93">
            <v>8.9999999999999858</v>
          </cell>
          <cell r="U93">
            <v>78.999999999999801</v>
          </cell>
          <cell r="V93">
            <v>372.00000000000023</v>
          </cell>
          <cell r="W93">
            <v>522</v>
          </cell>
          <cell r="Y93">
            <v>490.76117160685754</v>
          </cell>
          <cell r="Z93">
            <v>7143.3122157288435</v>
          </cell>
          <cell r="AA93">
            <v>12682.261240551359</v>
          </cell>
          <cell r="AB93">
            <v>1945.8588421820416</v>
          </cell>
          <cell r="AC93">
            <v>1853.2437767097465</v>
          </cell>
          <cell r="AD93">
            <v>13433.778225391032</v>
          </cell>
          <cell r="AE93">
            <v>37549.215472169883</v>
          </cell>
          <cell r="AG93">
            <v>37654.560596045441</v>
          </cell>
          <cell r="AH93">
            <v>-105.34512387555878</v>
          </cell>
          <cell r="AI93">
            <v>-2.8055213018667933E-3</v>
          </cell>
        </row>
        <row r="94">
          <cell r="E94">
            <v>2359</v>
          </cell>
          <cell r="F94" t="str">
            <v>Manor Lodge Community Primary and Nursery School</v>
          </cell>
          <cell r="G94">
            <v>8.7774294670846395E-2</v>
          </cell>
          <cell r="H94">
            <v>0.29780564263322901</v>
          </cell>
          <cell r="I94">
            <v>0.14420062695924801</v>
          </cell>
          <cell r="J94">
            <v>3.1347962382445103E-2</v>
          </cell>
          <cell r="K94">
            <v>0.166144200626959</v>
          </cell>
          <cell r="L94">
            <v>0.100313479623824</v>
          </cell>
          <cell r="M94">
            <v>0.17241379310344801</v>
          </cell>
          <cell r="N94">
            <v>0.99999999999999956</v>
          </cell>
          <cell r="P94">
            <v>28</v>
          </cell>
          <cell r="Q94">
            <v>95.000000000000057</v>
          </cell>
          <cell r="R94">
            <v>46.000000000000114</v>
          </cell>
          <cell r="S94">
            <v>9.9999999999999876</v>
          </cell>
          <cell r="T94">
            <v>52.999999999999922</v>
          </cell>
          <cell r="U94">
            <v>31.999999999999858</v>
          </cell>
          <cell r="V94">
            <v>54.999999999999915</v>
          </cell>
          <cell r="W94">
            <v>319</v>
          </cell>
          <cell r="Y94">
            <v>13741.312804991987</v>
          </cell>
          <cell r="Z94">
            <v>35716.561078644234</v>
          </cell>
          <cell r="AA94">
            <v>16205.111585149001</v>
          </cell>
          <cell r="AB94">
            <v>3243.0980703034038</v>
          </cell>
          <cell r="AC94">
            <v>10913.546685068508</v>
          </cell>
          <cell r="AD94">
            <v>5441.5304204115464</v>
          </cell>
          <cell r="AE94">
            <v>85261.160644568678</v>
          </cell>
          <cell r="AG94">
            <v>80862.366443802995</v>
          </cell>
          <cell r="AH94">
            <v>4398.794200765682</v>
          </cell>
          <cell r="AI94">
            <v>5.1592004700746409E-2</v>
          </cell>
        </row>
        <row r="95">
          <cell r="E95">
            <v>2012</v>
          </cell>
          <cell r="F95" t="str">
            <v>Mansel Primary</v>
          </cell>
          <cell r="G95">
            <v>0.214099216710183</v>
          </cell>
          <cell r="H95">
            <v>0.55091383812010397</v>
          </cell>
          <cell r="I95">
            <v>3.3942558746736302E-2</v>
          </cell>
          <cell r="J95">
            <v>5.2219321148825101E-3</v>
          </cell>
          <cell r="K95">
            <v>5.2219321148825101E-3</v>
          </cell>
          <cell r="L95">
            <v>0.14099216710182799</v>
          </cell>
          <cell r="M95">
            <v>4.9608355091383803E-2</v>
          </cell>
          <cell r="N95">
            <v>1</v>
          </cell>
          <cell r="P95">
            <v>82.428198433420462</v>
          </cell>
          <cell r="Q95">
            <v>212.10182767624002</v>
          </cell>
          <cell r="R95">
            <v>13.067885117493477</v>
          </cell>
          <cell r="S95">
            <v>2.0104438642297664</v>
          </cell>
          <cell r="T95">
            <v>2.0104438642297664</v>
          </cell>
          <cell r="U95">
            <v>54.281984334203777</v>
          </cell>
          <cell r="V95">
            <v>19.099216710182763</v>
          </cell>
          <cell r="W95">
            <v>385</v>
          </cell>
          <cell r="Y95">
            <v>40452.559236627894</v>
          </cell>
          <cell r="Z95">
            <v>79742.609295689428</v>
          </cell>
          <cell r="AA95">
            <v>4603.620358932375</v>
          </cell>
          <cell r="AB95">
            <v>652.00666165368818</v>
          </cell>
          <cell r="AC95">
            <v>413.98250886756836</v>
          </cell>
          <cell r="AD95">
            <v>9230.533407339819</v>
          </cell>
          <cell r="AE95">
            <v>135095.31146911078</v>
          </cell>
          <cell r="AG95">
            <v>137349.8549265707</v>
          </cell>
          <cell r="AH95">
            <v>-2254.5434574599203</v>
          </cell>
          <cell r="AI95">
            <v>-1.6688539616531519E-2</v>
          </cell>
        </row>
        <row r="96">
          <cell r="E96">
            <v>2079</v>
          </cell>
          <cell r="F96" t="str">
            <v>Marlcliffe Community Primary School</v>
          </cell>
          <cell r="G96">
            <v>1.7681728880157201E-2</v>
          </cell>
          <cell r="H96">
            <v>0.117878192534381</v>
          </cell>
          <cell r="I96">
            <v>8.6444007858546196E-2</v>
          </cell>
          <cell r="J96">
            <v>7.8585461689587403E-3</v>
          </cell>
          <cell r="K96">
            <v>7.8585461689587403E-3</v>
          </cell>
          <cell r="L96">
            <v>3.5363457760314299E-2</v>
          </cell>
          <cell r="M96">
            <v>0.72691552062868403</v>
          </cell>
          <cell r="N96">
            <v>1.0000000000000002</v>
          </cell>
          <cell r="P96">
            <v>9.000000000000016</v>
          </cell>
          <cell r="Q96">
            <v>59.999999999999929</v>
          </cell>
          <cell r="R96">
            <v>44.000000000000014</v>
          </cell>
          <cell r="S96">
            <v>3.9999999999999987</v>
          </cell>
          <cell r="T96">
            <v>3.9999999999999987</v>
          </cell>
          <cell r="U96">
            <v>17.999999999999979</v>
          </cell>
          <cell r="V96">
            <v>370.00000000000017</v>
          </cell>
          <cell r="W96">
            <v>509</v>
          </cell>
          <cell r="Y96">
            <v>4416.8505444617185</v>
          </cell>
          <cell r="Z96">
            <v>22557.828049669999</v>
          </cell>
          <cell r="AA96">
            <v>15500.541516229447</v>
          </cell>
          <cell r="AB96">
            <v>1297.2392281213627</v>
          </cell>
          <cell r="AC96">
            <v>823.66390075988841</v>
          </cell>
          <cell r="AD96">
            <v>3060.8608614815053</v>
          </cell>
          <cell r="AE96">
            <v>47656.984100723916</v>
          </cell>
          <cell r="AG96">
            <v>43343.156532861998</v>
          </cell>
          <cell r="AH96">
            <v>4313.8275678619175</v>
          </cell>
          <cell r="AI96">
            <v>9.0518266089699748E-2</v>
          </cell>
        </row>
        <row r="97">
          <cell r="E97">
            <v>2081</v>
          </cell>
          <cell r="F97" t="str">
            <v>Meersbrook Bank Primary School</v>
          </cell>
          <cell r="G97">
            <v>0</v>
          </cell>
          <cell r="H97">
            <v>0.01</v>
          </cell>
          <cell r="I97">
            <v>0</v>
          </cell>
          <cell r="J97">
            <v>0.01</v>
          </cell>
          <cell r="K97">
            <v>4.4999999999999998E-2</v>
          </cell>
          <cell r="L97">
            <v>7.4999999999999997E-2</v>
          </cell>
          <cell r="M97">
            <v>0.86</v>
          </cell>
          <cell r="N97">
            <v>1</v>
          </cell>
          <cell r="P97">
            <v>0</v>
          </cell>
          <cell r="Q97">
            <v>2</v>
          </cell>
          <cell r="R97">
            <v>0</v>
          </cell>
          <cell r="S97">
            <v>2</v>
          </cell>
          <cell r="T97">
            <v>9</v>
          </cell>
          <cell r="U97">
            <v>15</v>
          </cell>
          <cell r="V97">
            <v>172</v>
          </cell>
          <cell r="W97">
            <v>200</v>
          </cell>
          <cell r="Y97">
            <v>0</v>
          </cell>
          <cell r="Z97">
            <v>751.92760165566756</v>
          </cell>
          <cell r="AA97">
            <v>0</v>
          </cell>
          <cell r="AB97">
            <v>648.61961406068156</v>
          </cell>
          <cell r="AC97">
            <v>1853.2437767097495</v>
          </cell>
          <cell r="AD97">
            <v>2550.717384567924</v>
          </cell>
          <cell r="AE97">
            <v>5804.5083769940229</v>
          </cell>
          <cell r="AG97">
            <v>5224.536445030034</v>
          </cell>
          <cell r="AH97">
            <v>579.97193196398894</v>
          </cell>
          <cell r="AI97">
            <v>9.9917494177920133E-2</v>
          </cell>
        </row>
        <row r="98">
          <cell r="E98">
            <v>2013</v>
          </cell>
          <cell r="F98" t="str">
            <v>Meynell Community Primary School</v>
          </cell>
          <cell r="G98">
            <v>0.46537396121883701</v>
          </cell>
          <cell r="H98">
            <v>0.32963988919667597</v>
          </cell>
          <cell r="I98">
            <v>0.11911357340720199</v>
          </cell>
          <cell r="J98">
            <v>8.3102493074792196E-3</v>
          </cell>
          <cell r="K98">
            <v>3.0470914127423799E-2</v>
          </cell>
          <cell r="L98">
            <v>1.1080332409972299E-2</v>
          </cell>
          <cell r="M98">
            <v>3.6011080332410003E-2</v>
          </cell>
          <cell r="N98">
            <v>1.0000000000000002</v>
          </cell>
          <cell r="P98">
            <v>168.00000000000017</v>
          </cell>
          <cell r="Q98">
            <v>119.00000000000003</v>
          </cell>
          <cell r="R98">
            <v>42.999999999999922</v>
          </cell>
          <cell r="S98">
            <v>2.9999999999999982</v>
          </cell>
          <cell r="T98">
            <v>10.999999999999991</v>
          </cell>
          <cell r="U98">
            <v>4</v>
          </cell>
          <cell r="V98">
            <v>13.000000000000011</v>
          </cell>
          <cell r="W98">
            <v>361</v>
          </cell>
          <cell r="Y98">
            <v>82447.876829952002</v>
          </cell>
          <cell r="Z98">
            <v>44739.692298512229</v>
          </cell>
          <cell r="AA98">
            <v>15148.256481769653</v>
          </cell>
          <cell r="AB98">
            <v>972.92942109102171</v>
          </cell>
          <cell r="AC98">
            <v>2265.075727089692</v>
          </cell>
          <cell r="AD98">
            <v>680.19130255144637</v>
          </cell>
          <cell r="AE98">
            <v>146254.02206096603</v>
          </cell>
          <cell r="AG98">
            <v>144972.1852341124</v>
          </cell>
          <cell r="AH98">
            <v>1281.8368268536287</v>
          </cell>
          <cell r="AI98">
            <v>8.764455218327567E-3</v>
          </cell>
        </row>
        <row r="99">
          <cell r="E99">
            <v>2346</v>
          </cell>
          <cell r="F99" t="str">
            <v>Monteney Primary School</v>
          </cell>
          <cell r="G99">
            <v>6.5000000000000002E-2</v>
          </cell>
          <cell r="H99">
            <v>0.24249999999999999</v>
          </cell>
          <cell r="I99">
            <v>0.1525</v>
          </cell>
          <cell r="J99">
            <v>0</v>
          </cell>
          <cell r="K99">
            <v>7.4999999999999997E-3</v>
          </cell>
          <cell r="L99">
            <v>0.26250000000000001</v>
          </cell>
          <cell r="M99">
            <v>0.27</v>
          </cell>
          <cell r="N99">
            <v>1</v>
          </cell>
          <cell r="P99">
            <v>26</v>
          </cell>
          <cell r="Q99">
            <v>97</v>
          </cell>
          <cell r="R99">
            <v>61</v>
          </cell>
          <cell r="S99">
            <v>0</v>
          </cell>
          <cell r="T99">
            <v>3</v>
          </cell>
          <cell r="U99">
            <v>105</v>
          </cell>
          <cell r="V99">
            <v>108</v>
          </cell>
          <cell r="W99">
            <v>400</v>
          </cell>
          <cell r="Y99">
            <v>12759.790461778273</v>
          </cell>
          <cell r="Z99">
            <v>36468.488680299874</v>
          </cell>
          <cell r="AA99">
            <v>21489.387102045363</v>
          </cell>
          <cell r="AB99">
            <v>0</v>
          </cell>
          <cell r="AC99">
            <v>617.74792556991645</v>
          </cell>
          <cell r="AD99">
            <v>17855.021691975468</v>
          </cell>
          <cell r="AE99">
            <v>89190.435861668899</v>
          </cell>
          <cell r="AG99">
            <v>88511.613733417704</v>
          </cell>
          <cell r="AH99">
            <v>678.82212825119495</v>
          </cell>
          <cell r="AI99">
            <v>7.6109295990438169E-3</v>
          </cell>
        </row>
        <row r="100">
          <cell r="E100">
            <v>2257</v>
          </cell>
          <cell r="F100" t="str">
            <v>Mosborough Primary School</v>
          </cell>
          <cell r="G100">
            <v>0</v>
          </cell>
          <cell r="H100">
            <v>1.21951219512195E-2</v>
          </cell>
          <cell r="I100">
            <v>4.8780487804877997E-3</v>
          </cell>
          <cell r="J100">
            <v>0</v>
          </cell>
          <cell r="K100">
            <v>4.39024390243902E-2</v>
          </cell>
          <cell r="L100">
            <v>3.1707317073170697E-2</v>
          </cell>
          <cell r="M100">
            <v>0.90731707317073196</v>
          </cell>
          <cell r="N100">
            <v>1.0000000000000002</v>
          </cell>
          <cell r="P100">
            <v>0</v>
          </cell>
          <cell r="Q100">
            <v>4.9999999999999956</v>
          </cell>
          <cell r="R100">
            <v>1.9999999999999978</v>
          </cell>
          <cell r="S100">
            <v>0</v>
          </cell>
          <cell r="T100">
            <v>17.999999999999982</v>
          </cell>
          <cell r="U100">
            <v>12.999999999999986</v>
          </cell>
          <cell r="V100">
            <v>372.00000000000011</v>
          </cell>
          <cell r="W100">
            <v>410</v>
          </cell>
          <cell r="Y100">
            <v>0</v>
          </cell>
          <cell r="Z100">
            <v>1879.8190041391672</v>
          </cell>
          <cell r="AA100">
            <v>704.57006891951926</v>
          </cell>
          <cell r="AB100">
            <v>0</v>
          </cell>
          <cell r="AC100">
            <v>3706.4875534194953</v>
          </cell>
          <cell r="AD100">
            <v>2210.6217332921983</v>
          </cell>
          <cell r="AE100">
            <v>8501.4983597703795</v>
          </cell>
          <cell r="AG100">
            <v>10365.590405146751</v>
          </cell>
          <cell r="AH100">
            <v>-1864.092045376372</v>
          </cell>
          <cell r="AI100">
            <v>-0.21926629477426848</v>
          </cell>
        </row>
        <row r="101">
          <cell r="E101">
            <v>2092</v>
          </cell>
          <cell r="F101" t="str">
            <v>Mundella Primary School</v>
          </cell>
          <cell r="G101">
            <v>2.1428571428571401E-2</v>
          </cell>
          <cell r="H101">
            <v>9.5238095238095205E-2</v>
          </cell>
          <cell r="I101">
            <v>2.1428571428571401E-2</v>
          </cell>
          <cell r="J101">
            <v>9.5238095238095195E-3</v>
          </cell>
          <cell r="K101">
            <v>2.6190476190476202E-2</v>
          </cell>
          <cell r="L101">
            <v>1.6666666666666701E-2</v>
          </cell>
          <cell r="M101">
            <v>0.80952380952380998</v>
          </cell>
          <cell r="N101">
            <v>1.0000000000000004</v>
          </cell>
          <cell r="P101">
            <v>8.9999999999999876</v>
          </cell>
          <cell r="Q101">
            <v>39.999999999999986</v>
          </cell>
          <cell r="R101">
            <v>8.9999999999999876</v>
          </cell>
          <cell r="S101">
            <v>3.9999999999999982</v>
          </cell>
          <cell r="T101">
            <v>11.000000000000005</v>
          </cell>
          <cell r="U101">
            <v>7.0000000000000142</v>
          </cell>
          <cell r="V101">
            <v>340.00000000000017</v>
          </cell>
          <cell r="W101">
            <v>420</v>
          </cell>
          <cell r="Y101">
            <v>4416.850544461704</v>
          </cell>
          <cell r="Z101">
            <v>15038.552033113347</v>
          </cell>
          <cell r="AA101">
            <v>3170.5653101378357</v>
          </cell>
          <cell r="AB101">
            <v>1297.2392281213624</v>
          </cell>
          <cell r="AC101">
            <v>2265.0757270896947</v>
          </cell>
          <cell r="AD101">
            <v>1190.3347794650335</v>
          </cell>
          <cell r="AE101">
            <v>27378.617622388971</v>
          </cell>
          <cell r="AG101">
            <v>30550.583209280001</v>
          </cell>
          <cell r="AH101">
            <v>-3171.9655868910304</v>
          </cell>
          <cell r="AI101">
            <v>-0.11585557863583087</v>
          </cell>
        </row>
        <row r="102">
          <cell r="E102">
            <v>2002</v>
          </cell>
          <cell r="F102" t="str">
            <v>Nether Edge Primary School</v>
          </cell>
          <cell r="G102">
            <v>3.9603960396039598E-2</v>
          </cell>
          <cell r="H102">
            <v>3.21782178217822E-2</v>
          </cell>
          <cell r="I102">
            <v>9.9009900990098994E-3</v>
          </cell>
          <cell r="J102">
            <v>3.7128712871287099E-2</v>
          </cell>
          <cell r="K102">
            <v>5.4455445544554497E-2</v>
          </cell>
          <cell r="L102">
            <v>0.118811881188119</v>
          </cell>
          <cell r="M102">
            <v>0.70792079207920799</v>
          </cell>
          <cell r="N102">
            <v>1.0000000000000002</v>
          </cell>
          <cell r="P102">
            <v>15.999999999999998</v>
          </cell>
          <cell r="Q102">
            <v>13.000000000000009</v>
          </cell>
          <cell r="R102">
            <v>3.9999999999999996</v>
          </cell>
          <cell r="S102">
            <v>14.999999999999988</v>
          </cell>
          <cell r="T102">
            <v>22.000000000000018</v>
          </cell>
          <cell r="U102">
            <v>48.000000000000078</v>
          </cell>
          <cell r="V102">
            <v>286.00000000000006</v>
          </cell>
          <cell r="W102">
            <v>404</v>
          </cell>
          <cell r="Y102">
            <v>7852.1787457097062</v>
          </cell>
          <cell r="Z102">
            <v>4887.5294107618429</v>
          </cell>
          <cell r="AA102">
            <v>1409.1401378390399</v>
          </cell>
          <cell r="AB102">
            <v>4864.6471054551075</v>
          </cell>
          <cell r="AC102">
            <v>4530.1514541793913</v>
          </cell>
          <cell r="AD102">
            <v>8162.2956306173701</v>
          </cell>
          <cell r="AE102">
            <v>31705.942484562456</v>
          </cell>
          <cell r="AG102">
            <v>28578.330369187228</v>
          </cell>
          <cell r="AH102">
            <v>3127.6121153752283</v>
          </cell>
          <cell r="AI102">
            <v>9.864435087832682E-2</v>
          </cell>
        </row>
        <row r="103">
          <cell r="E103">
            <v>2221</v>
          </cell>
          <cell r="F103" t="str">
            <v>Nether Green Infant School</v>
          </cell>
          <cell r="G103">
            <v>1.8957345971564E-2</v>
          </cell>
          <cell r="H103">
            <v>1.8957345971564E-2</v>
          </cell>
          <cell r="I103">
            <v>0</v>
          </cell>
          <cell r="J103">
            <v>9.4786729857819895E-3</v>
          </cell>
          <cell r="K103">
            <v>1.4218009478673001E-2</v>
          </cell>
          <cell r="L103">
            <v>0</v>
          </cell>
          <cell r="M103">
            <v>0.93838862559241698</v>
          </cell>
          <cell r="N103">
            <v>1</v>
          </cell>
          <cell r="P103">
            <v>4.0000000000000036</v>
          </cell>
          <cell r="Q103">
            <v>4.0000000000000036</v>
          </cell>
          <cell r="R103">
            <v>0</v>
          </cell>
          <cell r="S103">
            <v>1.9999999999999998</v>
          </cell>
          <cell r="T103">
            <v>3.0000000000000031</v>
          </cell>
          <cell r="U103">
            <v>0</v>
          </cell>
          <cell r="V103">
            <v>197.99999999999997</v>
          </cell>
          <cell r="W103">
            <v>211</v>
          </cell>
          <cell r="Y103">
            <v>1963.0446864274286</v>
          </cell>
          <cell r="Z103">
            <v>1503.8552033113365</v>
          </cell>
          <cell r="AA103">
            <v>0</v>
          </cell>
          <cell r="AB103">
            <v>648.61961406068144</v>
          </cell>
          <cell r="AC103">
            <v>617.74792556991713</v>
          </cell>
          <cell r="AD103">
            <v>0</v>
          </cell>
          <cell r="AE103">
            <v>4733.2674293693635</v>
          </cell>
          <cell r="AG103">
            <v>4988.6395367052055</v>
          </cell>
          <cell r="AH103">
            <v>-255.37210733584197</v>
          </cell>
          <cell r="AI103">
            <v>-5.3952604864725855E-2</v>
          </cell>
        </row>
        <row r="104">
          <cell r="E104">
            <v>2087</v>
          </cell>
          <cell r="F104" t="str">
            <v>Nether Green Junior School</v>
          </cell>
          <cell r="G104">
            <v>2.7855153203342601E-3</v>
          </cell>
          <cell r="H104">
            <v>1.9498607242339799E-2</v>
          </cell>
          <cell r="I104">
            <v>2.7855153203342601E-3</v>
          </cell>
          <cell r="J104">
            <v>8.3565459610027894E-3</v>
          </cell>
          <cell r="K104">
            <v>3.06406685236769E-2</v>
          </cell>
          <cell r="L104">
            <v>2.7855153203342601E-3</v>
          </cell>
          <cell r="M104">
            <v>0.93314763231197795</v>
          </cell>
          <cell r="N104">
            <v>1.0000000000000002</v>
          </cell>
          <cell r="P104">
            <v>0.99999999999999933</v>
          </cell>
          <cell r="Q104">
            <v>6.9999999999999876</v>
          </cell>
          <cell r="R104">
            <v>0.99999999999999933</v>
          </cell>
          <cell r="S104">
            <v>3.0000000000000013</v>
          </cell>
          <cell r="T104">
            <v>11.000000000000007</v>
          </cell>
          <cell r="U104">
            <v>0.99999999999999933</v>
          </cell>
          <cell r="V104">
            <v>335.00000000000006</v>
          </cell>
          <cell r="W104">
            <v>359</v>
          </cell>
          <cell r="Y104">
            <v>490.76117160685635</v>
          </cell>
          <cell r="Z104">
            <v>2631.7466057948318</v>
          </cell>
          <cell r="AA104">
            <v>352.2850344597598</v>
          </cell>
          <cell r="AB104">
            <v>972.92942109102273</v>
          </cell>
          <cell r="AC104">
            <v>2265.0757270896952</v>
          </cell>
          <cell r="AD104">
            <v>170.04782563786148</v>
          </cell>
          <cell r="AE104">
            <v>6882.8457856800269</v>
          </cell>
          <cell r="AG104">
            <v>9841.9283883060307</v>
          </cell>
          <cell r="AH104">
            <v>-2959.0826026260038</v>
          </cell>
          <cell r="AI104">
            <v>-0.42992138641003208</v>
          </cell>
        </row>
        <row r="105">
          <cell r="E105">
            <v>2272</v>
          </cell>
          <cell r="F105" t="str">
            <v>Netherthorpe Primary School</v>
          </cell>
          <cell r="G105">
            <v>1.45631067961165E-2</v>
          </cell>
          <cell r="H105">
            <v>0.33495145631068002</v>
          </cell>
          <cell r="I105">
            <v>4.8543689320388302E-3</v>
          </cell>
          <cell r="J105">
            <v>0</v>
          </cell>
          <cell r="K105">
            <v>0.538834951456311</v>
          </cell>
          <cell r="L105">
            <v>0</v>
          </cell>
          <cell r="M105">
            <v>0.106796116504854</v>
          </cell>
          <cell r="N105">
            <v>1.0000000000000004</v>
          </cell>
          <cell r="P105">
            <v>2.9999999999999991</v>
          </cell>
          <cell r="Q105">
            <v>69.000000000000085</v>
          </cell>
          <cell r="R105">
            <v>0.999999999999999</v>
          </cell>
          <cell r="S105">
            <v>0</v>
          </cell>
          <cell r="T105">
            <v>111.00000000000007</v>
          </cell>
          <cell r="U105">
            <v>0</v>
          </cell>
          <cell r="V105">
            <v>21.999999999999925</v>
          </cell>
          <cell r="W105">
            <v>206</v>
          </cell>
          <cell r="Y105">
            <v>1472.2835148205697</v>
          </cell>
          <cell r="Z105">
            <v>25941.502257120563</v>
          </cell>
          <cell r="AA105">
            <v>352.28503445975969</v>
          </cell>
          <cell r="AB105">
            <v>0</v>
          </cell>
          <cell r="AC105">
            <v>22856.673246086924</v>
          </cell>
          <cell r="AD105">
            <v>0</v>
          </cell>
          <cell r="AE105">
            <v>50622.744052487818</v>
          </cell>
          <cell r="AG105">
            <v>51785.172120945324</v>
          </cell>
          <cell r="AH105">
            <v>-1162.428068457506</v>
          </cell>
          <cell r="AI105">
            <v>-2.2962565349129455E-2</v>
          </cell>
        </row>
        <row r="106">
          <cell r="E106">
            <v>2309</v>
          </cell>
          <cell r="F106" t="str">
            <v>Nook Lane Junior School</v>
          </cell>
          <cell r="G106">
            <v>0</v>
          </cell>
          <cell r="H106">
            <v>3.9682539682539698E-3</v>
          </cell>
          <cell r="I106">
            <v>3.9682539682539698E-3</v>
          </cell>
          <cell r="J106">
            <v>0</v>
          </cell>
          <cell r="K106">
            <v>0.115079365079365</v>
          </cell>
          <cell r="L106">
            <v>1.1904761904761901E-2</v>
          </cell>
          <cell r="M106">
            <v>0.865079365079365</v>
          </cell>
          <cell r="N106">
            <v>0.99999999999999978</v>
          </cell>
          <cell r="P106">
            <v>0</v>
          </cell>
          <cell r="Q106">
            <v>1.0000000000000004</v>
          </cell>
          <cell r="R106">
            <v>1.0000000000000004</v>
          </cell>
          <cell r="S106">
            <v>0</v>
          </cell>
          <cell r="T106">
            <v>28.999999999999982</v>
          </cell>
          <cell r="U106">
            <v>2.9999999999999991</v>
          </cell>
          <cell r="V106">
            <v>217.99999999999997</v>
          </cell>
          <cell r="W106">
            <v>252</v>
          </cell>
          <cell r="Y106">
            <v>0</v>
          </cell>
          <cell r="Z106">
            <v>375.96380082783395</v>
          </cell>
          <cell r="AA106">
            <v>352.2850344597602</v>
          </cell>
          <cell r="AB106">
            <v>0</v>
          </cell>
          <cell r="AC106">
            <v>5971.5632805091891</v>
          </cell>
          <cell r="AD106">
            <v>510.14347691358461</v>
          </cell>
          <cell r="AE106">
            <v>7209.9555927103684</v>
          </cell>
          <cell r="AG106">
            <v>7656.9816144777687</v>
          </cell>
          <cell r="AH106">
            <v>-447.02602176740038</v>
          </cell>
          <cell r="AI106">
            <v>-6.2001217069820293E-2</v>
          </cell>
        </row>
        <row r="107">
          <cell r="E107">
            <v>2051</v>
          </cell>
          <cell r="F107" t="str">
            <v>Norfolk Community Primary School</v>
          </cell>
          <cell r="G107">
            <v>0.185567010309278</v>
          </cell>
          <cell r="H107">
            <v>0.34020618556700999</v>
          </cell>
          <cell r="I107">
            <v>0.26030927835051498</v>
          </cell>
          <cell r="J107">
            <v>0.115979381443299</v>
          </cell>
          <cell r="K107">
            <v>1.8041237113402098E-2</v>
          </cell>
          <cell r="L107">
            <v>1.8041237113402098E-2</v>
          </cell>
          <cell r="M107">
            <v>6.18556701030928E-2</v>
          </cell>
          <cell r="N107">
            <v>0.999999999999999</v>
          </cell>
          <cell r="P107">
            <v>71.999999999999858</v>
          </cell>
          <cell r="Q107">
            <v>131.99999999999989</v>
          </cell>
          <cell r="R107">
            <v>100.99999999999982</v>
          </cell>
          <cell r="S107">
            <v>45.000000000000014</v>
          </cell>
          <cell r="T107">
            <v>7.0000000000000142</v>
          </cell>
          <cell r="U107">
            <v>7.0000000000000142</v>
          </cell>
          <cell r="V107">
            <v>24.000000000000007</v>
          </cell>
          <cell r="W107">
            <v>388</v>
          </cell>
          <cell r="Y107">
            <v>35334.80435569361</v>
          </cell>
          <cell r="Z107">
            <v>49627.221709274017</v>
          </cell>
          <cell r="AA107">
            <v>35580.788480435695</v>
          </cell>
          <cell r="AB107">
            <v>14593.941316365339</v>
          </cell>
          <cell r="AC107">
            <v>1441.411826329808</v>
          </cell>
          <cell r="AD107">
            <v>1190.3347794650335</v>
          </cell>
          <cell r="AE107">
            <v>137768.50246756352</v>
          </cell>
          <cell r="AG107">
            <v>132775.15492498965</v>
          </cell>
          <cell r="AH107">
            <v>4993.3475425738725</v>
          </cell>
          <cell r="AI107">
            <v>3.6244478622749897E-2</v>
          </cell>
        </row>
        <row r="108">
          <cell r="E108">
            <v>3010</v>
          </cell>
          <cell r="F108" t="str">
            <v>Norton Free Church of England Primary School</v>
          </cell>
          <cell r="G108">
            <v>4.3062200956937802E-2</v>
          </cell>
          <cell r="H108">
            <v>0.16746411483253601</v>
          </cell>
          <cell r="I108">
            <v>2.39234449760766E-2</v>
          </cell>
          <cell r="J108">
            <v>0</v>
          </cell>
          <cell r="K108">
            <v>9.5693779904306199E-3</v>
          </cell>
          <cell r="L108">
            <v>0</v>
          </cell>
          <cell r="M108">
            <v>0.75598086124401898</v>
          </cell>
          <cell r="N108">
            <v>1</v>
          </cell>
          <cell r="P108">
            <v>9</v>
          </cell>
          <cell r="Q108">
            <v>35.000000000000028</v>
          </cell>
          <cell r="R108">
            <v>5.0000000000000098</v>
          </cell>
          <cell r="S108">
            <v>0</v>
          </cell>
          <cell r="T108">
            <v>1.9999999999999996</v>
          </cell>
          <cell r="U108">
            <v>0</v>
          </cell>
          <cell r="V108">
            <v>157.99999999999997</v>
          </cell>
          <cell r="W108">
            <v>209</v>
          </cell>
          <cell r="Y108">
            <v>4416.8505444617103</v>
          </cell>
          <cell r="Z108">
            <v>13158.733028974193</v>
          </cell>
          <cell r="AA108">
            <v>1761.4251722988035</v>
          </cell>
          <cell r="AB108">
            <v>0</v>
          </cell>
          <cell r="AC108">
            <v>411.8319503799442</v>
          </cell>
          <cell r="AD108">
            <v>0</v>
          </cell>
          <cell r="AE108">
            <v>19748.84069611465</v>
          </cell>
          <cell r="AG108">
            <v>19401.553919108577</v>
          </cell>
          <cell r="AH108">
            <v>347.28677700607295</v>
          </cell>
          <cell r="AI108">
            <v>1.7585172838747821E-2</v>
          </cell>
        </row>
        <row r="109">
          <cell r="E109">
            <v>2018</v>
          </cell>
          <cell r="F109" t="str">
            <v>Oasis Academy Fir Vale</v>
          </cell>
          <cell r="G109">
            <v>3.2581453634085197E-2</v>
          </cell>
          <cell r="H109">
            <v>6.2656641604009994E-2</v>
          </cell>
          <cell r="I109">
            <v>0.73934837092731798</v>
          </cell>
          <cell r="J109">
            <v>2.5062656641604E-3</v>
          </cell>
          <cell r="K109">
            <v>3.2581453634085197E-2</v>
          </cell>
          <cell r="L109">
            <v>0.12531328320801999</v>
          </cell>
          <cell r="M109">
            <v>5.0125313283208E-3</v>
          </cell>
          <cell r="N109">
            <v>0.99999999999999944</v>
          </cell>
          <cell r="P109">
            <v>13.065162907268164</v>
          </cell>
          <cell r="Q109">
            <v>25.125313283208008</v>
          </cell>
          <cell r="R109">
            <v>296.47869674185449</v>
          </cell>
          <cell r="S109">
            <v>1.0050125313283205</v>
          </cell>
          <cell r="T109">
            <v>13.065162907268164</v>
          </cell>
          <cell r="U109">
            <v>50.250626566416017</v>
          </cell>
          <cell r="V109">
            <v>2.0100250626566409</v>
          </cell>
          <cell r="W109">
            <v>401</v>
          </cell>
          <cell r="Y109">
            <v>6411.8746556053702</v>
          </cell>
          <cell r="Z109">
            <v>9446.2082789449414</v>
          </cell>
          <cell r="AA109">
            <v>104445.00789828895</v>
          </cell>
          <cell r="AB109">
            <v>325.9354200981619</v>
          </cell>
          <cell r="AC109">
            <v>2690.3257610659757</v>
          </cell>
          <cell r="AD109">
            <v>8545.0097845592063</v>
          </cell>
          <cell r="AE109">
            <v>131864.3617985626</v>
          </cell>
          <cell r="AG109">
            <v>121089.30242885917</v>
          </cell>
          <cell r="AH109">
            <v>10775.059369703435</v>
          </cell>
          <cell r="AI109">
            <v>8.1713203042407548E-2</v>
          </cell>
        </row>
        <row r="110">
          <cell r="E110">
            <v>2019</v>
          </cell>
          <cell r="F110" t="str">
            <v>Oasis Academy Watermead</v>
          </cell>
          <cell r="G110">
            <v>0.27851458885941599</v>
          </cell>
          <cell r="H110">
            <v>0.28116710875331602</v>
          </cell>
          <cell r="I110">
            <v>0.30238726790450898</v>
          </cell>
          <cell r="J110">
            <v>1.3262599469495999E-2</v>
          </cell>
          <cell r="K110">
            <v>6.6312997347480099E-2</v>
          </cell>
          <cell r="L110">
            <v>2.9177718832891199E-2</v>
          </cell>
          <cell r="M110">
            <v>2.9177718832891199E-2</v>
          </cell>
          <cell r="N110">
            <v>0.99999999999999956</v>
          </cell>
          <cell r="P110">
            <v>104.99999999999983</v>
          </cell>
          <cell r="Q110">
            <v>106.00000000000014</v>
          </cell>
          <cell r="R110">
            <v>113.99999999999989</v>
          </cell>
          <cell r="S110">
            <v>4.999999999999992</v>
          </cell>
          <cell r="T110">
            <v>24.999999999999996</v>
          </cell>
          <cell r="U110">
            <v>10.999999999999982</v>
          </cell>
          <cell r="V110">
            <v>10.999999999999982</v>
          </cell>
          <cell r="W110">
            <v>377</v>
          </cell>
          <cell r="Y110">
            <v>51529.92301871987</v>
          </cell>
          <cell r="Z110">
            <v>39852.162887750434</v>
          </cell>
          <cell r="AA110">
            <v>40160.493928412601</v>
          </cell>
          <cell r="AB110">
            <v>1621.5490351517012</v>
          </cell>
          <cell r="AC110">
            <v>5147.8993797493031</v>
          </cell>
          <cell r="AD110">
            <v>1870.5260820164744</v>
          </cell>
          <cell r="AE110">
            <v>140182.55433180041</v>
          </cell>
          <cell r="AG110">
            <v>127206.44102355136</v>
          </cell>
          <cell r="AH110">
            <v>12976.113308249041</v>
          </cell>
          <cell r="AI110">
            <v>9.256582154677867E-2</v>
          </cell>
        </row>
        <row r="111">
          <cell r="E111">
            <v>2313</v>
          </cell>
          <cell r="F111" t="str">
            <v>Oughtibridge Primary School</v>
          </cell>
          <cell r="G111">
            <v>4.8076923076923097E-3</v>
          </cell>
          <cell r="H111">
            <v>2.4038461538461501E-3</v>
          </cell>
          <cell r="I111">
            <v>2.4038461538461501E-3</v>
          </cell>
          <cell r="J111">
            <v>0</v>
          </cell>
          <cell r="K111">
            <v>1.2019230769230799E-2</v>
          </cell>
          <cell r="L111">
            <v>4.0865384615384602E-2</v>
          </cell>
          <cell r="M111">
            <v>0.9375</v>
          </cell>
          <cell r="N111">
            <v>1</v>
          </cell>
          <cell r="P111">
            <v>2.0000000000000009</v>
          </cell>
          <cell r="Q111">
            <v>0.99999999999999845</v>
          </cell>
          <cell r="R111">
            <v>0.99999999999999845</v>
          </cell>
          <cell r="S111">
            <v>0</v>
          </cell>
          <cell r="T111">
            <v>5.0000000000000124</v>
          </cell>
          <cell r="U111">
            <v>16.999999999999993</v>
          </cell>
          <cell r="V111">
            <v>390</v>
          </cell>
          <cell r="W111">
            <v>416</v>
          </cell>
          <cell r="Y111">
            <v>981.52234321371384</v>
          </cell>
          <cell r="Z111">
            <v>375.96380082783321</v>
          </cell>
          <cell r="AA111">
            <v>352.28503445975946</v>
          </cell>
          <cell r="AB111">
            <v>0</v>
          </cell>
          <cell r="AC111">
            <v>1029.5798759498634</v>
          </cell>
          <cell r="AD111">
            <v>2890.813035843646</v>
          </cell>
          <cell r="AE111">
            <v>5630.1640902948166</v>
          </cell>
          <cell r="AG111">
            <v>3797.553507786447</v>
          </cell>
          <cell r="AH111">
            <v>1832.6105825083696</v>
          </cell>
          <cell r="AI111">
            <v>0.32549860947523596</v>
          </cell>
        </row>
        <row r="112">
          <cell r="E112">
            <v>2093</v>
          </cell>
          <cell r="F112" t="str">
            <v>Owler Brook Primary School</v>
          </cell>
          <cell r="G112">
            <v>5.46875E-2</v>
          </cell>
          <cell r="H112">
            <v>4.4270833333333301E-2</v>
          </cell>
          <cell r="I112">
            <v>0.8125</v>
          </cell>
          <cell r="J112">
            <v>2.60416666666667E-3</v>
          </cell>
          <cell r="K112">
            <v>5.46875E-2</v>
          </cell>
          <cell r="L112">
            <v>2.0833333333333301E-2</v>
          </cell>
          <cell r="M112">
            <v>1.0416666666666701E-2</v>
          </cell>
          <cell r="N112">
            <v>0.99999999999999989</v>
          </cell>
          <cell r="P112">
            <v>21</v>
          </cell>
          <cell r="Q112">
            <v>16.999999999999986</v>
          </cell>
          <cell r="R112">
            <v>312</v>
          </cell>
          <cell r="S112">
            <v>1.0000000000000013</v>
          </cell>
          <cell r="T112">
            <v>21</v>
          </cell>
          <cell r="U112">
            <v>7.9999999999999876</v>
          </cell>
          <cell r="V112">
            <v>4.0000000000000133</v>
          </cell>
          <cell r="W112">
            <v>384</v>
          </cell>
          <cell r="Y112">
            <v>10305.984603743991</v>
          </cell>
          <cell r="Z112">
            <v>6391.3846140731694</v>
          </cell>
          <cell r="AA112">
            <v>109912.93075144512</v>
          </cell>
          <cell r="AB112">
            <v>324.30980703034123</v>
          </cell>
          <cell r="AC112">
            <v>4324.2354789894152</v>
          </cell>
          <cell r="AD112">
            <v>1360.3826051028907</v>
          </cell>
          <cell r="AE112">
            <v>132619.22786038494</v>
          </cell>
          <cell r="AG112">
            <v>139213.98037352783</v>
          </cell>
          <cell r="AH112">
            <v>-6594.7525131428847</v>
          </cell>
          <cell r="AI112">
            <v>-4.972697111527085E-2</v>
          </cell>
        </row>
        <row r="113">
          <cell r="E113">
            <v>3428</v>
          </cell>
          <cell r="F113" t="str">
            <v>Parson Cross Church of England Primary School</v>
          </cell>
          <cell r="G113">
            <v>0.238805970149254</v>
          </cell>
          <cell r="H113">
            <v>0.26865671641791</v>
          </cell>
          <cell r="I113">
            <v>0.104477611940299</v>
          </cell>
          <cell r="J113">
            <v>0</v>
          </cell>
          <cell r="K113">
            <v>0.16915422885572101</v>
          </cell>
          <cell r="L113">
            <v>2.9850746268656699E-2</v>
          </cell>
          <cell r="M113">
            <v>0.18905472636815901</v>
          </cell>
          <cell r="N113">
            <v>0.99999999999999967</v>
          </cell>
          <cell r="P113">
            <v>48.000000000000057</v>
          </cell>
          <cell r="Q113">
            <v>53.999999999999908</v>
          </cell>
          <cell r="R113">
            <v>21.000000000000099</v>
          </cell>
          <cell r="S113">
            <v>0</v>
          </cell>
          <cell r="T113">
            <v>33.999999999999922</v>
          </cell>
          <cell r="U113">
            <v>5.9999999999999964</v>
          </cell>
          <cell r="V113">
            <v>37.999999999999957</v>
          </cell>
          <cell r="W113">
            <v>201</v>
          </cell>
          <cell r="Y113">
            <v>23556.536237129149</v>
          </cell>
          <cell r="Z113">
            <v>20302.045244702989</v>
          </cell>
          <cell r="AA113">
            <v>7397.985723654996</v>
          </cell>
          <cell r="AB113">
            <v>0</v>
          </cell>
          <cell r="AC113">
            <v>7001.1431564590375</v>
          </cell>
          <cell r="AD113">
            <v>1020.286953827169</v>
          </cell>
          <cell r="AE113">
            <v>59277.99731577334</v>
          </cell>
          <cell r="AG113">
            <v>59546.567121075066</v>
          </cell>
          <cell r="AH113">
            <v>-268.56980530172586</v>
          </cell>
          <cell r="AI113">
            <v>-4.5306828412413633E-3</v>
          </cell>
        </row>
        <row r="114">
          <cell r="E114">
            <v>2332</v>
          </cell>
          <cell r="F114" t="str">
            <v>Phillimore Community Primary School</v>
          </cell>
          <cell r="G114">
            <v>7.2815533980582501E-3</v>
          </cell>
          <cell r="H114">
            <v>0.779126213592233</v>
          </cell>
          <cell r="I114">
            <v>1.2135922330097099E-2</v>
          </cell>
          <cell r="J114">
            <v>0.15048543689320401</v>
          </cell>
          <cell r="K114">
            <v>4.6116504854368898E-2</v>
          </cell>
          <cell r="L114">
            <v>2.4271844660194199E-3</v>
          </cell>
          <cell r="M114">
            <v>2.4271844660194199E-3</v>
          </cell>
          <cell r="N114">
            <v>1.0000000000000002</v>
          </cell>
          <cell r="P114">
            <v>3.0072815533980575</v>
          </cell>
          <cell r="Q114">
            <v>321.77912621359224</v>
          </cell>
          <cell r="R114">
            <v>5.0121359223301019</v>
          </cell>
          <cell r="S114">
            <v>62.150485436893256</v>
          </cell>
          <cell r="T114">
            <v>19.046116504854353</v>
          </cell>
          <cell r="U114">
            <v>1.0024271844660204</v>
          </cell>
          <cell r="V114">
            <v>1.0024271844660204</v>
          </cell>
          <cell r="W114">
            <v>413</v>
          </cell>
          <cell r="Y114">
            <v>1475.8570184973187</v>
          </cell>
          <cell r="Z114">
            <v>120977.30331832138</v>
          </cell>
          <cell r="AA114">
            <v>1765.7004761150611</v>
          </cell>
          <cell r="AB114">
            <v>20156.011938880856</v>
          </cell>
          <cell r="AC114">
            <v>3921.8996536789082</v>
          </cell>
          <cell r="AD114">
            <v>170.46056307873036</v>
          </cell>
          <cell r="AE114">
            <v>148467.23296857227</v>
          </cell>
          <cell r="AG114">
            <v>143328.64120070171</v>
          </cell>
          <cell r="AH114">
            <v>5138.5917678705591</v>
          </cell>
          <cell r="AI114">
            <v>3.4610948591992034E-2</v>
          </cell>
        </row>
        <row r="115">
          <cell r="E115">
            <v>3433</v>
          </cell>
          <cell r="F115" t="str">
            <v>Pipworth Community Primary School</v>
          </cell>
          <cell r="G115">
            <v>0.43414634146341502</v>
          </cell>
          <cell r="H115">
            <v>0.32439024390243898</v>
          </cell>
          <cell r="I115">
            <v>1.46341463414634E-2</v>
          </cell>
          <cell r="J115">
            <v>0.117073170731707</v>
          </cell>
          <cell r="K115">
            <v>6.8292682926829301E-2</v>
          </cell>
          <cell r="L115">
            <v>9.7560975609756097E-3</v>
          </cell>
          <cell r="M115">
            <v>3.1707317073170697E-2</v>
          </cell>
          <cell r="N115">
            <v>1</v>
          </cell>
          <cell r="P115">
            <v>178.00000000000017</v>
          </cell>
          <cell r="Q115">
            <v>132.99999999999997</v>
          </cell>
          <cell r="R115">
            <v>5.9999999999999938</v>
          </cell>
          <cell r="S115">
            <v>47.999999999999872</v>
          </cell>
          <cell r="T115">
            <v>28.000000000000014</v>
          </cell>
          <cell r="U115">
            <v>4</v>
          </cell>
          <cell r="V115">
            <v>12.999999999999986</v>
          </cell>
          <cell r="W115">
            <v>410</v>
          </cell>
          <cell r="Y115">
            <v>87355.48854602057</v>
          </cell>
          <cell r="Z115">
            <v>50003.185510101881</v>
          </cell>
          <cell r="AA115">
            <v>2113.7102067585579</v>
          </cell>
          <cell r="AB115">
            <v>15566.870737456316</v>
          </cell>
          <cell r="AC115">
            <v>5765.6473053192231</v>
          </cell>
          <cell r="AD115">
            <v>680.19130255144637</v>
          </cell>
          <cell r="AE115">
            <v>161485.093608208</v>
          </cell>
          <cell r="AG115">
            <v>152698.77577235823</v>
          </cell>
          <cell r="AH115">
            <v>8786.317835849768</v>
          </cell>
          <cell r="AI115">
            <v>5.4409466778196643E-2</v>
          </cell>
        </row>
        <row r="116">
          <cell r="E116">
            <v>3427</v>
          </cell>
          <cell r="F116" t="str">
            <v>Porter Croft Church of England Primary Academy</v>
          </cell>
          <cell r="G116">
            <v>1.4084507042253501E-2</v>
          </cell>
          <cell r="H116">
            <v>0.44131455399060998</v>
          </cell>
          <cell r="I116">
            <v>4.2253521126760597E-2</v>
          </cell>
          <cell r="J116">
            <v>0.122065727699531</v>
          </cell>
          <cell r="K116">
            <v>0.154929577464789</v>
          </cell>
          <cell r="L116">
            <v>4.6948356807511703E-3</v>
          </cell>
          <cell r="M116">
            <v>0.22065727699530499</v>
          </cell>
          <cell r="N116">
            <v>1.0000000000000002</v>
          </cell>
          <cell r="P116">
            <v>2.9999999999999956</v>
          </cell>
          <cell r="Q116">
            <v>93.999999999999929</v>
          </cell>
          <cell r="R116">
            <v>9.0000000000000071</v>
          </cell>
          <cell r="S116">
            <v>26.000000000000103</v>
          </cell>
          <cell r="T116">
            <v>33.000000000000057</v>
          </cell>
          <cell r="U116">
            <v>0.99999999999999933</v>
          </cell>
          <cell r="V116">
            <v>46.999999999999964</v>
          </cell>
          <cell r="W116">
            <v>213</v>
          </cell>
          <cell r="Y116">
            <v>1472.2835148205679</v>
          </cell>
          <cell r="Z116">
            <v>35340.597277816349</v>
          </cell>
          <cell r="AA116">
            <v>3170.565310137843</v>
          </cell>
          <cell r="AB116">
            <v>8432.0549827888935</v>
          </cell>
          <cell r="AC116">
            <v>6795.2271812690933</v>
          </cell>
          <cell r="AD116">
            <v>170.04782563786148</v>
          </cell>
          <cell r="AE116">
            <v>55380.776092470609</v>
          </cell>
          <cell r="AG116">
            <v>53266.295332230744</v>
          </cell>
          <cell r="AH116">
            <v>2114.480760239865</v>
          </cell>
          <cell r="AI116">
            <v>3.8180771549847295E-2</v>
          </cell>
        </row>
        <row r="117">
          <cell r="E117">
            <v>2347</v>
          </cell>
          <cell r="F117" t="str">
            <v>Prince Edward Primary School</v>
          </cell>
          <cell r="G117">
            <v>0.33333333333333298</v>
          </cell>
          <cell r="H117">
            <v>0.55961070559610704</v>
          </cell>
          <cell r="I117">
            <v>4.8661800486617997E-3</v>
          </cell>
          <cell r="J117">
            <v>3.8929440389294398E-2</v>
          </cell>
          <cell r="K117">
            <v>2.18978102189781E-2</v>
          </cell>
          <cell r="L117">
            <v>9.7323600973235995E-3</v>
          </cell>
          <cell r="M117">
            <v>3.1630170316301699E-2</v>
          </cell>
          <cell r="N117">
            <v>0.99999999999999956</v>
          </cell>
          <cell r="P117">
            <v>136.99999999999986</v>
          </cell>
          <cell r="Q117">
            <v>230</v>
          </cell>
          <cell r="R117">
            <v>1.9999999999999998</v>
          </cell>
          <cell r="S117">
            <v>15.999999999999998</v>
          </cell>
          <cell r="T117">
            <v>8.9999999999999982</v>
          </cell>
          <cell r="U117">
            <v>3.9999999999999996</v>
          </cell>
          <cell r="V117">
            <v>12.999999999999998</v>
          </cell>
          <cell r="W117">
            <v>411</v>
          </cell>
          <cell r="Y117">
            <v>67234.280510139302</v>
          </cell>
          <cell r="Z117">
            <v>86471.674190401769</v>
          </cell>
          <cell r="AA117">
            <v>704.57006891951994</v>
          </cell>
          <cell r="AB117">
            <v>5188.9569124854515</v>
          </cell>
          <cell r="AC117">
            <v>1853.243776709749</v>
          </cell>
          <cell r="AD117">
            <v>680.19130255144626</v>
          </cell>
          <cell r="AE117">
            <v>162132.91676120722</v>
          </cell>
          <cell r="AG117">
            <v>156001.33248890564</v>
          </cell>
          <cell r="AH117">
            <v>6131.5842723015812</v>
          </cell>
          <cell r="AI117">
            <v>3.7818256741364298E-2</v>
          </cell>
        </row>
        <row r="118">
          <cell r="E118">
            <v>2366</v>
          </cell>
          <cell r="F118" t="str">
            <v>Pye Bank CofE Primary School</v>
          </cell>
          <cell r="G118">
            <v>2.03562340966921E-2</v>
          </cell>
          <cell r="H118">
            <v>0.38422391857506399</v>
          </cell>
          <cell r="I118">
            <v>0.52162849872773498</v>
          </cell>
          <cell r="J118">
            <v>2.03562340966921E-2</v>
          </cell>
          <cell r="K118">
            <v>2.2900763358778602E-2</v>
          </cell>
          <cell r="L118">
            <v>5.0890585241730301E-3</v>
          </cell>
          <cell r="M118">
            <v>2.54452926208651E-2</v>
          </cell>
          <cell r="N118">
            <v>0.99999999999999989</v>
          </cell>
          <cell r="P118">
            <v>7.9999999999999956</v>
          </cell>
          <cell r="Q118">
            <v>151.00000000000014</v>
          </cell>
          <cell r="R118">
            <v>204.99999999999986</v>
          </cell>
          <cell r="S118">
            <v>7.9999999999999956</v>
          </cell>
          <cell r="T118">
            <v>8.9999999999999911</v>
          </cell>
          <cell r="U118">
            <v>2.0000000000000009</v>
          </cell>
          <cell r="V118">
            <v>9.999999999999984</v>
          </cell>
          <cell r="W118">
            <v>393</v>
          </cell>
          <cell r="Y118">
            <v>3926.0893728548513</v>
          </cell>
          <cell r="Z118">
            <v>56770.533925002957</v>
          </cell>
          <cell r="AA118">
            <v>72218.432064250752</v>
          </cell>
          <cell r="AB118">
            <v>2594.4784562427249</v>
          </cell>
          <cell r="AC118">
            <v>1853.2437767097476</v>
          </cell>
          <cell r="AD118">
            <v>340.09565127572336</v>
          </cell>
          <cell r="AE118">
            <v>137702.87324633676</v>
          </cell>
          <cell r="AG118">
            <v>139043.8252265394</v>
          </cell>
          <cell r="AH118">
            <v>-1340.9519802026334</v>
          </cell>
          <cell r="AI118">
            <v>-9.7380101706650915E-3</v>
          </cell>
        </row>
        <row r="119">
          <cell r="E119">
            <v>2363</v>
          </cell>
          <cell r="F119" t="str">
            <v>Rainbow Forge Primary Academy</v>
          </cell>
          <cell r="G119">
            <v>1.7361111111111101E-2</v>
          </cell>
          <cell r="H119">
            <v>5.9027777777777797E-2</v>
          </cell>
          <cell r="I119">
            <v>0.163194444444444</v>
          </cell>
          <cell r="J119">
            <v>0.118055555555556</v>
          </cell>
          <cell r="K119">
            <v>1.38888888888889E-2</v>
          </cell>
          <cell r="L119">
            <v>0.32638888888888901</v>
          </cell>
          <cell r="M119">
            <v>0.30208333333333298</v>
          </cell>
          <cell r="N119">
            <v>0.99999999999999978</v>
          </cell>
          <cell r="P119">
            <v>4.9999999999999973</v>
          </cell>
          <cell r="Q119">
            <v>17.000000000000007</v>
          </cell>
          <cell r="R119">
            <v>46.999999999999872</v>
          </cell>
          <cell r="S119">
            <v>34.000000000000128</v>
          </cell>
          <cell r="T119">
            <v>4.0000000000000036</v>
          </cell>
          <cell r="U119">
            <v>94.000000000000028</v>
          </cell>
          <cell r="V119">
            <v>86.999999999999901</v>
          </cell>
          <cell r="W119">
            <v>288</v>
          </cell>
          <cell r="Y119">
            <v>2453.8058580342822</v>
          </cell>
          <cell r="Z119">
            <v>6391.3846140731766</v>
          </cell>
          <cell r="AA119">
            <v>16557.396619608677</v>
          </cell>
          <cell r="AB119">
            <v>11026.533439031627</v>
          </cell>
          <cell r="AC119">
            <v>823.66390075988932</v>
          </cell>
          <cell r="AD119">
            <v>15984.495609958994</v>
          </cell>
          <cell r="AE119">
            <v>53237.280041466642</v>
          </cell>
          <cell r="AG119">
            <v>53749.690636175044</v>
          </cell>
          <cell r="AH119">
            <v>-512.41059470840264</v>
          </cell>
          <cell r="AI119">
            <v>-9.6250333283234013E-3</v>
          </cell>
        </row>
        <row r="120">
          <cell r="E120">
            <v>2334</v>
          </cell>
          <cell r="F120" t="str">
            <v>Reignhead Primary School</v>
          </cell>
          <cell r="G120">
            <v>1.13636363636364E-2</v>
          </cell>
          <cell r="H120">
            <v>1.8939393939393898E-2</v>
          </cell>
          <cell r="I120">
            <v>3.03030303030303E-2</v>
          </cell>
          <cell r="J120">
            <v>1.13636363636364E-2</v>
          </cell>
          <cell r="K120">
            <v>2.6515151515151499E-2</v>
          </cell>
          <cell r="L120">
            <v>0.59469696969696995</v>
          </cell>
          <cell r="M120">
            <v>0.30681818181818199</v>
          </cell>
          <cell r="N120">
            <v>1.0000000000000004</v>
          </cell>
          <cell r="P120">
            <v>3.0000000000000098</v>
          </cell>
          <cell r="Q120">
            <v>4.9999999999999893</v>
          </cell>
          <cell r="R120">
            <v>7.9999999999999991</v>
          </cell>
          <cell r="S120">
            <v>3.0000000000000098</v>
          </cell>
          <cell r="T120">
            <v>6.9999999999999956</v>
          </cell>
          <cell r="U120">
            <v>157.00000000000006</v>
          </cell>
          <cell r="V120">
            <v>81.000000000000043</v>
          </cell>
          <cell r="W120">
            <v>264</v>
          </cell>
          <cell r="Y120">
            <v>1472.283514820575</v>
          </cell>
          <cell r="Z120">
            <v>1879.8190041391649</v>
          </cell>
          <cell r="AA120">
            <v>2818.2802756780798</v>
          </cell>
          <cell r="AB120">
            <v>972.92942109102546</v>
          </cell>
          <cell r="AC120">
            <v>1441.4118263298042</v>
          </cell>
          <cell r="AD120">
            <v>26697.508625144281</v>
          </cell>
          <cell r="AE120">
            <v>35282.23266720293</v>
          </cell>
          <cell r="AG120">
            <v>35430.942197901648</v>
          </cell>
          <cell r="AH120">
            <v>-148.70953069871757</v>
          </cell>
          <cell r="AI120">
            <v>-4.2148560183650876E-3</v>
          </cell>
        </row>
        <row r="121">
          <cell r="E121">
            <v>2338</v>
          </cell>
          <cell r="F121" t="str">
            <v>Rivelin Primary School</v>
          </cell>
          <cell r="G121">
            <v>3.77358490566038E-2</v>
          </cell>
          <cell r="H121">
            <v>3.77358490566038E-2</v>
          </cell>
          <cell r="I121">
            <v>1.88679245283019E-2</v>
          </cell>
          <cell r="J121">
            <v>3.77358490566038E-2</v>
          </cell>
          <cell r="K121">
            <v>6.9182389937106903E-2</v>
          </cell>
          <cell r="L121">
            <v>9.7484276729559796E-2</v>
          </cell>
          <cell r="M121">
            <v>0.70125786163521997</v>
          </cell>
          <cell r="N121">
            <v>1</v>
          </cell>
          <cell r="P121">
            <v>12.000000000000009</v>
          </cell>
          <cell r="Q121">
            <v>12.000000000000009</v>
          </cell>
          <cell r="R121">
            <v>6.0000000000000044</v>
          </cell>
          <cell r="S121">
            <v>12.000000000000009</v>
          </cell>
          <cell r="T121">
            <v>21.999999999999996</v>
          </cell>
          <cell r="U121">
            <v>31.000000000000014</v>
          </cell>
          <cell r="V121">
            <v>222.99999999999994</v>
          </cell>
          <cell r="W121">
            <v>318</v>
          </cell>
          <cell r="Y121">
            <v>5889.1340592822844</v>
          </cell>
          <cell r="Z121">
            <v>4511.5656099340085</v>
          </cell>
          <cell r="AA121">
            <v>2113.7102067585615</v>
          </cell>
          <cell r="AB121">
            <v>3891.7176843640923</v>
          </cell>
          <cell r="AC121">
            <v>4530.1514541793867</v>
          </cell>
          <cell r="AD121">
            <v>5271.4825947737118</v>
          </cell>
          <cell r="AE121">
            <v>26207.761609292047</v>
          </cell>
          <cell r="AG121">
            <v>32851.544856054839</v>
          </cell>
          <cell r="AH121">
            <v>-6643.7832467627923</v>
          </cell>
          <cell r="AI121">
            <v>-0.25350441391405276</v>
          </cell>
        </row>
        <row r="122">
          <cell r="E122">
            <v>2306</v>
          </cell>
          <cell r="F122" t="str">
            <v>Royd Nursery and Infant School</v>
          </cell>
          <cell r="G122">
            <v>0</v>
          </cell>
          <cell r="H122">
            <v>0</v>
          </cell>
          <cell r="I122">
            <v>0</v>
          </cell>
          <cell r="J122">
            <v>6.15384615384615E-2</v>
          </cell>
          <cell r="K122">
            <v>0</v>
          </cell>
          <cell r="L122">
            <v>0.261538461538462</v>
          </cell>
          <cell r="M122">
            <v>0.67692307692307696</v>
          </cell>
          <cell r="N122">
            <v>1.0000000000000004</v>
          </cell>
          <cell r="P122">
            <v>0</v>
          </cell>
          <cell r="Q122">
            <v>0</v>
          </cell>
          <cell r="R122">
            <v>0</v>
          </cell>
          <cell r="S122">
            <v>7.9999999999999947</v>
          </cell>
          <cell r="T122">
            <v>0</v>
          </cell>
          <cell r="U122">
            <v>34.000000000000057</v>
          </cell>
          <cell r="V122">
            <v>88</v>
          </cell>
          <cell r="W122">
            <v>130</v>
          </cell>
          <cell r="Y122">
            <v>0</v>
          </cell>
          <cell r="Z122">
            <v>0</v>
          </cell>
          <cell r="AA122">
            <v>0</v>
          </cell>
          <cell r="AB122">
            <v>2594.4784562427244</v>
          </cell>
          <cell r="AC122">
            <v>0</v>
          </cell>
          <cell r="AD122">
            <v>5781.6260716873039</v>
          </cell>
          <cell r="AE122">
            <v>8376.1045279300288</v>
          </cell>
          <cell r="AG122">
            <v>7042.1027878606128</v>
          </cell>
          <cell r="AH122">
            <v>1334.001740069416</v>
          </cell>
          <cell r="AI122">
            <v>0.15926278565665003</v>
          </cell>
        </row>
        <row r="123">
          <cell r="E123">
            <v>3401</v>
          </cell>
          <cell r="F123" t="str">
            <v>Sacred Heart School, A Catholic Voluntary Academy</v>
          </cell>
          <cell r="G123">
            <v>9.7087378640776708E-3</v>
          </cell>
          <cell r="H123">
            <v>6.7961165048543701E-2</v>
          </cell>
          <cell r="I123">
            <v>4.85436893203883E-2</v>
          </cell>
          <cell r="J123">
            <v>3.8834951456310697E-2</v>
          </cell>
          <cell r="K123">
            <v>8.7378640776699004E-2</v>
          </cell>
          <cell r="L123">
            <v>0.106796116504854</v>
          </cell>
          <cell r="M123">
            <v>0.64077669902912604</v>
          </cell>
          <cell r="N123">
            <v>0.99999999999999933</v>
          </cell>
          <cell r="P123">
            <v>2</v>
          </cell>
          <cell r="Q123">
            <v>14.000000000000002</v>
          </cell>
          <cell r="R123">
            <v>9.9999999999999893</v>
          </cell>
          <cell r="S123">
            <v>8.0000000000000036</v>
          </cell>
          <cell r="T123">
            <v>17.999999999999996</v>
          </cell>
          <cell r="U123">
            <v>21.999999999999925</v>
          </cell>
          <cell r="V123">
            <v>131.99999999999997</v>
          </cell>
          <cell r="W123">
            <v>206</v>
          </cell>
          <cell r="Y123">
            <v>981.52234321371338</v>
          </cell>
          <cell r="Z123">
            <v>5263.4932115896736</v>
          </cell>
          <cell r="AA123">
            <v>3522.8503445975966</v>
          </cell>
          <cell r="AB123">
            <v>2594.4784562427276</v>
          </cell>
          <cell r="AC123">
            <v>3706.487553419498</v>
          </cell>
          <cell r="AD123">
            <v>3741.0521640329425</v>
          </cell>
          <cell r="AE123">
            <v>19809.884073096153</v>
          </cell>
          <cell r="AG123">
            <v>22116.301946059782</v>
          </cell>
          <cell r="AH123">
            <v>-2306.4178729636296</v>
          </cell>
          <cell r="AI123">
            <v>-0.11642763099739593</v>
          </cell>
        </row>
        <row r="124">
          <cell r="E124">
            <v>2369</v>
          </cell>
          <cell r="F124" t="str">
            <v>Sharrow Nursery, Infant and Junior School</v>
          </cell>
          <cell r="G124">
            <v>1.20481927710843E-2</v>
          </cell>
          <cell r="H124">
            <v>0.25301204819277101</v>
          </cell>
          <cell r="I124">
            <v>3.13253012048193E-2</v>
          </cell>
          <cell r="J124">
            <v>5.78313253012048E-2</v>
          </cell>
          <cell r="K124">
            <v>0.180722891566265</v>
          </cell>
          <cell r="L124">
            <v>0.14216867469879499</v>
          </cell>
          <cell r="M124">
            <v>0.32289156626505999</v>
          </cell>
          <cell r="N124">
            <v>0.99999999999999944</v>
          </cell>
          <cell r="P124">
            <v>4.999999999999984</v>
          </cell>
          <cell r="Q124">
            <v>104.99999999999997</v>
          </cell>
          <cell r="R124">
            <v>13.000000000000009</v>
          </cell>
          <cell r="S124">
            <v>23.999999999999993</v>
          </cell>
          <cell r="T124">
            <v>74.999999999999972</v>
          </cell>
          <cell r="U124">
            <v>58.999999999999922</v>
          </cell>
          <cell r="V124">
            <v>133.99999999999989</v>
          </cell>
          <cell r="W124">
            <v>415</v>
          </cell>
          <cell r="Y124">
            <v>2453.8058580342754</v>
          </cell>
          <cell r="Z124">
            <v>39476.199086922534</v>
          </cell>
          <cell r="AA124">
            <v>4579.7054479768831</v>
          </cell>
          <cell r="AB124">
            <v>7783.4353687281764</v>
          </cell>
          <cell r="AC124">
            <v>15443.698139247907</v>
          </cell>
          <cell r="AD124">
            <v>10032.82171263382</v>
          </cell>
          <cell r="AE124">
            <v>79769.665613543591</v>
          </cell>
          <cell r="AG124">
            <v>78166.954229009702</v>
          </cell>
          <cell r="AH124">
            <v>1602.7113845338899</v>
          </cell>
          <cell r="AI124">
            <v>2.0091740039358714E-2</v>
          </cell>
        </row>
        <row r="125">
          <cell r="E125">
            <v>2349</v>
          </cell>
          <cell r="F125" t="str">
            <v>Shooter's Grove Primary School</v>
          </cell>
          <cell r="G125">
            <v>1.9774011299434999E-2</v>
          </cell>
          <cell r="H125">
            <v>2.5423728813559299E-2</v>
          </cell>
          <cell r="I125">
            <v>8.4745762711864406E-3</v>
          </cell>
          <cell r="J125">
            <v>5.6497175141242903E-3</v>
          </cell>
          <cell r="K125">
            <v>0.41242937853107298</v>
          </cell>
          <cell r="L125">
            <v>1.9774011299434999E-2</v>
          </cell>
          <cell r="M125">
            <v>0.50847457627118597</v>
          </cell>
          <cell r="N125">
            <v>0.999999999999999</v>
          </cell>
          <cell r="P125">
            <v>6.9999999999999893</v>
          </cell>
          <cell r="Q125">
            <v>8.9999999999999911</v>
          </cell>
          <cell r="R125">
            <v>3</v>
          </cell>
          <cell r="S125">
            <v>1.9999999999999987</v>
          </cell>
          <cell r="T125">
            <v>145.99999999999983</v>
          </cell>
          <cell r="U125">
            <v>6.9999999999999893</v>
          </cell>
          <cell r="V125">
            <v>179.99999999999983</v>
          </cell>
          <cell r="W125">
            <v>354</v>
          </cell>
          <cell r="Y125">
            <v>3435.3282012479917</v>
          </cell>
          <cell r="Z125">
            <v>3383.6742074505005</v>
          </cell>
          <cell r="AA125">
            <v>1056.8551033792801</v>
          </cell>
          <cell r="AB125">
            <v>648.6196140606811</v>
          </cell>
          <cell r="AC125">
            <v>30063.732377735902</v>
          </cell>
          <cell r="AD125">
            <v>1190.3347794650294</v>
          </cell>
          <cell r="AE125">
            <v>39778.54428333939</v>
          </cell>
          <cell r="AG125">
            <v>41483.05140328432</v>
          </cell>
          <cell r="AH125">
            <v>-1704.5071199449303</v>
          </cell>
          <cell r="AI125">
            <v>-4.2849911947603271E-2</v>
          </cell>
        </row>
        <row r="126">
          <cell r="E126">
            <v>2360</v>
          </cell>
          <cell r="F126" t="str">
            <v>Shortbrook Primary School</v>
          </cell>
          <cell r="G126">
            <v>0</v>
          </cell>
          <cell r="H126">
            <v>0.44318181818181801</v>
          </cell>
          <cell r="I126">
            <v>1.13636363636364E-2</v>
          </cell>
          <cell r="J126">
            <v>1.13636363636364E-2</v>
          </cell>
          <cell r="K126">
            <v>3.4090909090909102E-2</v>
          </cell>
          <cell r="L126">
            <v>0.32954545454545497</v>
          </cell>
          <cell r="M126">
            <v>0.170454545454545</v>
          </cell>
          <cell r="N126">
            <v>0.99999999999999989</v>
          </cell>
          <cell r="P126">
            <v>0</v>
          </cell>
          <cell r="Q126">
            <v>38.999999999999986</v>
          </cell>
          <cell r="R126">
            <v>1.0000000000000033</v>
          </cell>
          <cell r="S126">
            <v>1.0000000000000033</v>
          </cell>
          <cell r="T126">
            <v>3.0000000000000009</v>
          </cell>
          <cell r="U126">
            <v>29.000000000000039</v>
          </cell>
          <cell r="V126">
            <v>14.999999999999959</v>
          </cell>
          <cell r="W126">
            <v>88</v>
          </cell>
          <cell r="Y126">
            <v>0</v>
          </cell>
          <cell r="Z126">
            <v>14662.588232285512</v>
          </cell>
          <cell r="AA126">
            <v>352.28503445976122</v>
          </cell>
          <cell r="AB126">
            <v>324.30980703034186</v>
          </cell>
          <cell r="AC126">
            <v>617.74792556991667</v>
          </cell>
          <cell r="AD126">
            <v>4931.3869434979924</v>
          </cell>
          <cell r="AE126">
            <v>20888.317942843525</v>
          </cell>
          <cell r="AG126">
            <v>22139.504920649124</v>
          </cell>
          <cell r="AH126">
            <v>-1251.1869778055989</v>
          </cell>
          <cell r="AI126">
            <v>-5.9898886125211617E-2</v>
          </cell>
        </row>
        <row r="127">
          <cell r="E127">
            <v>2009</v>
          </cell>
          <cell r="F127" t="str">
            <v>Southey Green Primary School and Nurseries</v>
          </cell>
          <cell r="G127">
            <v>0.38576158940397398</v>
          </cell>
          <cell r="H127">
            <v>0.47516556291390699</v>
          </cell>
          <cell r="I127">
            <v>7.7814569536423794E-2</v>
          </cell>
          <cell r="J127">
            <v>0</v>
          </cell>
          <cell r="K127">
            <v>1.6556291390728501E-3</v>
          </cell>
          <cell r="L127">
            <v>1.6556291390728499E-2</v>
          </cell>
          <cell r="M127">
            <v>4.3046357615894003E-2</v>
          </cell>
          <cell r="N127">
            <v>1</v>
          </cell>
          <cell r="P127">
            <v>233.38576158940427</v>
          </cell>
          <cell r="Q127">
            <v>287.47516556291373</v>
          </cell>
          <cell r="R127">
            <v>47.077814569536393</v>
          </cell>
          <cell r="S127">
            <v>0</v>
          </cell>
          <cell r="T127">
            <v>1.0016556291390744</v>
          </cell>
          <cell r="U127">
            <v>10.016556291390742</v>
          </cell>
          <cell r="V127">
            <v>26.043046357615872</v>
          </cell>
          <cell r="W127">
            <v>605</v>
          </cell>
          <cell r="Y127">
            <v>114536.66979397456</v>
          </cell>
          <cell r="Z127">
            <v>108080.25588864383</v>
          </cell>
          <cell r="AA127">
            <v>16584.809527919322</v>
          </cell>
          <cell r="AB127">
            <v>0</v>
          </cell>
          <cell r="AC127">
            <v>206.25689567869759</v>
          </cell>
          <cell r="AD127">
            <v>1703.2936177302386</v>
          </cell>
          <cell r="AE127">
            <v>241111.28572394667</v>
          </cell>
          <cell r="AG127">
            <v>238205.60429645824</v>
          </cell>
          <cell r="AH127">
            <v>2905.6814274884237</v>
          </cell>
          <cell r="AI127">
            <v>1.205120456624E-2</v>
          </cell>
        </row>
        <row r="128">
          <cell r="E128">
            <v>2329</v>
          </cell>
          <cell r="F128" t="str">
            <v>Springfield Primary School</v>
          </cell>
          <cell r="G128">
            <v>4.78468899521531E-3</v>
          </cell>
          <cell r="H128">
            <v>0.148325358851675</v>
          </cell>
          <cell r="I128">
            <v>1.9138755980861202E-2</v>
          </cell>
          <cell r="J128">
            <v>3.3492822966507199E-2</v>
          </cell>
          <cell r="K128">
            <v>0.44976076555023897</v>
          </cell>
          <cell r="L128">
            <v>1.43540669856459E-2</v>
          </cell>
          <cell r="M128">
            <v>0.33014354066985602</v>
          </cell>
          <cell r="N128">
            <v>0.99999999999999956</v>
          </cell>
          <cell r="P128">
            <v>0.99999999999999978</v>
          </cell>
          <cell r="Q128">
            <v>31.000000000000075</v>
          </cell>
          <cell r="R128">
            <v>3.9999999999999911</v>
          </cell>
          <cell r="S128">
            <v>7.0000000000000044</v>
          </cell>
          <cell r="T128">
            <v>93.999999999999943</v>
          </cell>
          <cell r="U128">
            <v>2.9999999999999933</v>
          </cell>
          <cell r="V128">
            <v>68.999999999999901</v>
          </cell>
          <cell r="W128">
            <v>209</v>
          </cell>
          <cell r="Y128">
            <v>490.76117160685658</v>
          </cell>
          <cell r="Z128">
            <v>11654.877825662876</v>
          </cell>
          <cell r="AA128">
            <v>1409.1401378390369</v>
          </cell>
          <cell r="AB128">
            <v>2270.1686492123868</v>
          </cell>
          <cell r="AC128">
            <v>19356.101667857372</v>
          </cell>
          <cell r="AD128">
            <v>510.14347691358364</v>
          </cell>
          <cell r="AE128">
            <v>35691.192929092111</v>
          </cell>
          <cell r="AG128">
            <v>36610.426739525763</v>
          </cell>
          <cell r="AH128">
            <v>-919.23381043365225</v>
          </cell>
          <cell r="AI128">
            <v>-2.5755199952545691E-2</v>
          </cell>
        </row>
        <row r="129">
          <cell r="E129">
            <v>5202</v>
          </cell>
          <cell r="F129" t="str">
            <v>St Ann's Catholic Primary School, A Voluntary Academy</v>
          </cell>
          <cell r="G129">
            <v>1.0869565217391301E-2</v>
          </cell>
          <cell r="H129">
            <v>1.0869565217391301E-2</v>
          </cell>
          <cell r="I129">
            <v>1.0869565217391301E-2</v>
          </cell>
          <cell r="J129">
            <v>0.30434782608695699</v>
          </cell>
          <cell r="K129">
            <v>0</v>
          </cell>
          <cell r="L129">
            <v>0.141304347826087</v>
          </cell>
          <cell r="M129">
            <v>0.52173913043478304</v>
          </cell>
          <cell r="N129">
            <v>1.0000000000000009</v>
          </cell>
          <cell r="P129">
            <v>0.99999999999999967</v>
          </cell>
          <cell r="Q129">
            <v>0.99999999999999967</v>
          </cell>
          <cell r="R129">
            <v>0.99999999999999967</v>
          </cell>
          <cell r="S129">
            <v>28.000000000000043</v>
          </cell>
          <cell r="T129">
            <v>0</v>
          </cell>
          <cell r="U129">
            <v>13.000000000000004</v>
          </cell>
          <cell r="V129">
            <v>48.000000000000043</v>
          </cell>
          <cell r="W129">
            <v>92</v>
          </cell>
          <cell r="Y129">
            <v>490.76117160685652</v>
          </cell>
          <cell r="Z129">
            <v>375.96380082783367</v>
          </cell>
          <cell r="AA129">
            <v>352.28503445975991</v>
          </cell>
          <cell r="AB129">
            <v>9080.6745968495561</v>
          </cell>
          <cell r="AC129">
            <v>0</v>
          </cell>
          <cell r="AD129">
            <v>2210.6217332922015</v>
          </cell>
          <cell r="AE129">
            <v>12510.306337036207</v>
          </cell>
          <cell r="AG129">
            <v>13473.193911535631</v>
          </cell>
          <cell r="AH129">
            <v>-962.88757449942386</v>
          </cell>
          <cell r="AI129">
            <v>-7.6967545682621527E-2</v>
          </cell>
        </row>
        <row r="130">
          <cell r="E130">
            <v>3402</v>
          </cell>
          <cell r="F130" t="str">
            <v>St Catherine's Catholic Primary School (Hallam)</v>
          </cell>
          <cell r="G130">
            <v>9.7156398104265407E-2</v>
          </cell>
          <cell r="H130">
            <v>0.234597156398104</v>
          </cell>
          <cell r="I130">
            <v>0.234597156398104</v>
          </cell>
          <cell r="J130">
            <v>8.0568720379146905E-2</v>
          </cell>
          <cell r="K130">
            <v>0.25829383886255902</v>
          </cell>
          <cell r="L130">
            <v>3.3175355450236997E-2</v>
          </cell>
          <cell r="M130">
            <v>6.1611374407582901E-2</v>
          </cell>
          <cell r="N130">
            <v>0.99999999999999922</v>
          </cell>
          <cell r="P130">
            <v>41</v>
          </cell>
          <cell r="Q130">
            <v>98.999999999999886</v>
          </cell>
          <cell r="R130">
            <v>98.999999999999886</v>
          </cell>
          <cell r="S130">
            <v>33.999999999999993</v>
          </cell>
          <cell r="T130">
            <v>108.9999999999999</v>
          </cell>
          <cell r="U130">
            <v>14.000000000000012</v>
          </cell>
          <cell r="V130">
            <v>25.999999999999986</v>
          </cell>
          <cell r="W130">
            <v>422</v>
          </cell>
          <cell r="Y130">
            <v>20121.208035881125</v>
          </cell>
          <cell r="Z130">
            <v>37220.416281955499</v>
          </cell>
          <cell r="AA130">
            <v>34876.218411516202</v>
          </cell>
          <cell r="AB130">
            <v>11026.533439031584</v>
          </cell>
          <cell r="AC130">
            <v>22444.841295706945</v>
          </cell>
          <cell r="AD130">
            <v>2380.6695589300643</v>
          </cell>
          <cell r="AE130">
            <v>128069.88702302141</v>
          </cell>
          <cell r="AG130">
            <v>123865.21268268835</v>
          </cell>
          <cell r="AH130">
            <v>4204.674340333062</v>
          </cell>
          <cell r="AI130">
            <v>3.2831092757794375E-2</v>
          </cell>
        </row>
        <row r="131">
          <cell r="E131">
            <v>2017</v>
          </cell>
          <cell r="F131" t="str">
            <v>St John Fisher Primary, A Catholic Voluntary Academy</v>
          </cell>
          <cell r="G131">
            <v>1.4285714285714299E-2</v>
          </cell>
          <cell r="H131">
            <v>5.7142857142857099E-2</v>
          </cell>
          <cell r="I131">
            <v>7.1428571428571397E-2</v>
          </cell>
          <cell r="J131">
            <v>0.133333333333333</v>
          </cell>
          <cell r="K131">
            <v>5.2380952380952403E-2</v>
          </cell>
          <cell r="L131">
            <v>0.14285714285714299</v>
          </cell>
          <cell r="M131">
            <v>0.52857142857142903</v>
          </cell>
          <cell r="N131">
            <v>1.0000000000000002</v>
          </cell>
          <cell r="P131">
            <v>3.0000000000000027</v>
          </cell>
          <cell r="Q131">
            <v>11.999999999999991</v>
          </cell>
          <cell r="R131">
            <v>14.999999999999993</v>
          </cell>
          <cell r="S131">
            <v>27.999999999999929</v>
          </cell>
          <cell r="T131">
            <v>11.000000000000005</v>
          </cell>
          <cell r="U131">
            <v>30.000000000000028</v>
          </cell>
          <cell r="V131">
            <v>111.0000000000001</v>
          </cell>
          <cell r="W131">
            <v>210</v>
          </cell>
          <cell r="Y131">
            <v>1472.2835148205713</v>
          </cell>
          <cell r="Z131">
            <v>4511.5656099340022</v>
          </cell>
          <cell r="AA131">
            <v>5284.2755168963977</v>
          </cell>
          <cell r="AB131">
            <v>9080.6745968495179</v>
          </cell>
          <cell r="AC131">
            <v>2265.0757270896947</v>
          </cell>
          <cell r="AD131">
            <v>5101.4347691358525</v>
          </cell>
          <cell r="AE131">
            <v>27715.309734726037</v>
          </cell>
          <cell r="AG131">
            <v>27746.890446403035</v>
          </cell>
          <cell r="AH131">
            <v>-31.580711676997453</v>
          </cell>
          <cell r="AI131">
            <v>-1.1394681127242911E-3</v>
          </cell>
        </row>
        <row r="132">
          <cell r="E132">
            <v>5203</v>
          </cell>
          <cell r="F132" t="str">
            <v>St Joseph's Primary School</v>
          </cell>
          <cell r="G132">
            <v>2.4509803921568599E-2</v>
          </cell>
          <cell r="H132">
            <v>5.8823529411764698E-2</v>
          </cell>
          <cell r="I132">
            <v>9.8039215686274495E-2</v>
          </cell>
          <cell r="J132">
            <v>8.3333333333333301E-2</v>
          </cell>
          <cell r="K132">
            <v>6.3725490196078399E-2</v>
          </cell>
          <cell r="L132">
            <v>0.14215686274509801</v>
          </cell>
          <cell r="M132">
            <v>0.52941176470588203</v>
          </cell>
          <cell r="N132">
            <v>0.99999999999999956</v>
          </cell>
          <cell r="P132">
            <v>4.9999999999999947</v>
          </cell>
          <cell r="Q132">
            <v>11.999999999999998</v>
          </cell>
          <cell r="R132">
            <v>19.999999999999996</v>
          </cell>
          <cell r="S132">
            <v>16.999999999999993</v>
          </cell>
          <cell r="T132">
            <v>12.999999999999993</v>
          </cell>
          <cell r="U132">
            <v>28.999999999999993</v>
          </cell>
          <cell r="V132">
            <v>107.99999999999993</v>
          </cell>
          <cell r="W132">
            <v>204</v>
          </cell>
          <cell r="Y132">
            <v>2453.8058580342808</v>
          </cell>
          <cell r="Z132">
            <v>4511.5656099340049</v>
          </cell>
          <cell r="AA132">
            <v>7045.7006891951996</v>
          </cell>
          <cell r="AB132">
            <v>5513.266719515791</v>
          </cell>
          <cell r="AC132">
            <v>2676.9076774696364</v>
          </cell>
          <cell r="AD132">
            <v>4931.3869434979852</v>
          </cell>
          <cell r="AE132">
            <v>27132.633497646901</v>
          </cell>
          <cell r="AG132">
            <v>24339.92034420358</v>
          </cell>
          <cell r="AH132">
            <v>2792.7131534433211</v>
          </cell>
          <cell r="AI132">
            <v>0.10292820096823706</v>
          </cell>
        </row>
        <row r="133">
          <cell r="E133">
            <v>3406</v>
          </cell>
          <cell r="F133" t="str">
            <v>St Marie's School, A Catholic Voluntary Academy</v>
          </cell>
          <cell r="G133">
            <v>1.8433179723502301E-2</v>
          </cell>
          <cell r="H133">
            <v>5.99078341013825E-2</v>
          </cell>
          <cell r="I133">
            <v>1.8433179723502301E-2</v>
          </cell>
          <cell r="J133">
            <v>6.4516129032258104E-2</v>
          </cell>
          <cell r="K133">
            <v>2.76497695852535E-2</v>
          </cell>
          <cell r="L133">
            <v>2.3041474654377898E-2</v>
          </cell>
          <cell r="M133">
            <v>0.78801843317972398</v>
          </cell>
          <cell r="N133">
            <v>1.0000000000000004</v>
          </cell>
          <cell r="P133">
            <v>3.9999999999999991</v>
          </cell>
          <cell r="Q133">
            <v>13.000000000000002</v>
          </cell>
          <cell r="R133">
            <v>3.9999999999999991</v>
          </cell>
          <cell r="S133">
            <v>14.000000000000009</v>
          </cell>
          <cell r="T133">
            <v>6.0000000000000098</v>
          </cell>
          <cell r="U133">
            <v>5.0000000000000036</v>
          </cell>
          <cell r="V133">
            <v>171.00000000000011</v>
          </cell>
          <cell r="W133">
            <v>217</v>
          </cell>
          <cell r="Y133">
            <v>1963.0446864274263</v>
          </cell>
          <cell r="Z133">
            <v>4887.5294107618402</v>
          </cell>
          <cell r="AA133">
            <v>1409.1401378390399</v>
          </cell>
          <cell r="AB133">
            <v>4540.3372984247735</v>
          </cell>
          <cell r="AC133">
            <v>1235.4958511398349</v>
          </cell>
          <cell r="AD133">
            <v>850.23912818930853</v>
          </cell>
          <cell r="AE133">
            <v>14885.786512782222</v>
          </cell>
          <cell r="AG133">
            <v>13345.577551294333</v>
          </cell>
          <cell r="AH133">
            <v>1540.2089614878896</v>
          </cell>
          <cell r="AI133">
            <v>0.10346843011387628</v>
          </cell>
        </row>
        <row r="134">
          <cell r="E134">
            <v>2020</v>
          </cell>
          <cell r="F134" t="str">
            <v>St Mary's Church of England Primary School</v>
          </cell>
          <cell r="G134">
            <v>1.5228426395939101E-2</v>
          </cell>
          <cell r="H134">
            <v>0.10659898477157401</v>
          </cell>
          <cell r="I134">
            <v>2.5380710659898501E-2</v>
          </cell>
          <cell r="J134">
            <v>0.101522842639594</v>
          </cell>
          <cell r="K134">
            <v>0.36040609137055801</v>
          </cell>
          <cell r="L134">
            <v>1.01522842639594E-2</v>
          </cell>
          <cell r="M134">
            <v>0.38071065989847702</v>
          </cell>
          <cell r="N134">
            <v>1</v>
          </cell>
          <cell r="P134">
            <v>3.0000000000000027</v>
          </cell>
          <cell r="Q134">
            <v>21.000000000000078</v>
          </cell>
          <cell r="R134">
            <v>5.0000000000000044</v>
          </cell>
          <cell r="S134">
            <v>20.000000000000018</v>
          </cell>
          <cell r="T134">
            <v>70.999999999999929</v>
          </cell>
          <cell r="U134">
            <v>2.0000000000000018</v>
          </cell>
          <cell r="V134">
            <v>74.999999999999972</v>
          </cell>
          <cell r="W134">
            <v>197</v>
          </cell>
          <cell r="Y134">
            <v>1472.2835148205713</v>
          </cell>
          <cell r="Z134">
            <v>7895.2398173845386</v>
          </cell>
          <cell r="AA134">
            <v>1761.4251722988017</v>
          </cell>
          <cell r="AB134">
            <v>6486.1961406068212</v>
          </cell>
          <cell r="AC134">
            <v>14620.034238488008</v>
          </cell>
          <cell r="AD134">
            <v>340.09565127572347</v>
          </cell>
          <cell r="AE134">
            <v>32575.274534874461</v>
          </cell>
          <cell r="AG134">
            <v>27499.392050783554</v>
          </cell>
          <cell r="AH134">
            <v>5075.8824840909074</v>
          </cell>
          <cell r="AI134">
            <v>0.15582009842025324</v>
          </cell>
        </row>
        <row r="135">
          <cell r="E135">
            <v>3423</v>
          </cell>
          <cell r="F135" t="str">
            <v>St Mary's Primary School, A Catholic Voluntary Academy</v>
          </cell>
          <cell r="G135">
            <v>2.1276595744680899E-2</v>
          </cell>
          <cell r="H135">
            <v>0.14893617021276601</v>
          </cell>
          <cell r="I135">
            <v>5.31914893617021E-3</v>
          </cell>
          <cell r="J135">
            <v>1.5957446808510599E-2</v>
          </cell>
          <cell r="K135">
            <v>8.5106382978723402E-2</v>
          </cell>
          <cell r="L135">
            <v>2.6595744680851099E-2</v>
          </cell>
          <cell r="M135">
            <v>0.69680851063829796</v>
          </cell>
          <cell r="N135">
            <v>1.0000000000000002</v>
          </cell>
          <cell r="P135">
            <v>4.0000000000000089</v>
          </cell>
          <cell r="Q135">
            <v>28.000000000000011</v>
          </cell>
          <cell r="R135">
            <v>0.99999999999999944</v>
          </cell>
          <cell r="S135">
            <v>2.9999999999999925</v>
          </cell>
          <cell r="T135">
            <v>16</v>
          </cell>
          <cell r="U135">
            <v>5.0000000000000062</v>
          </cell>
          <cell r="V135">
            <v>131.00000000000003</v>
          </cell>
          <cell r="W135">
            <v>188</v>
          </cell>
          <cell r="Y135">
            <v>1963.0446864274311</v>
          </cell>
          <cell r="Z135">
            <v>10526.986423179349</v>
          </cell>
          <cell r="AA135">
            <v>352.28503445975986</v>
          </cell>
          <cell r="AB135">
            <v>972.92942109101989</v>
          </cell>
          <cell r="AC135">
            <v>3294.6556030395545</v>
          </cell>
          <cell r="AD135">
            <v>850.23912818930899</v>
          </cell>
          <cell r="AE135">
            <v>17960.140296386424</v>
          </cell>
          <cell r="AG135">
            <v>20078.307344630583</v>
          </cell>
          <cell r="AH135">
            <v>-2118.1670482441587</v>
          </cell>
          <cell r="AI135">
            <v>-0.11793711036156736</v>
          </cell>
        </row>
        <row r="136">
          <cell r="E136">
            <v>5207</v>
          </cell>
          <cell r="F136" t="str">
            <v>St Patrick's Catholic Voluntary Academy</v>
          </cell>
          <cell r="G136">
            <v>0.17204301075268799</v>
          </cell>
          <cell r="H136">
            <v>0.43010752688171999</v>
          </cell>
          <cell r="I136">
            <v>0.17921146953405001</v>
          </cell>
          <cell r="J136">
            <v>1.4336917562724E-2</v>
          </cell>
          <cell r="K136">
            <v>4.3010752688171998E-2</v>
          </cell>
          <cell r="L136">
            <v>1.4336917562724E-2</v>
          </cell>
          <cell r="M136">
            <v>0.14695340501792101</v>
          </cell>
          <cell r="N136">
            <v>0.999999999999999</v>
          </cell>
          <cell r="P136">
            <v>47.99999999999995</v>
          </cell>
          <cell r="Q136">
            <v>119.99999999999987</v>
          </cell>
          <cell r="R136">
            <v>49.99999999999995</v>
          </cell>
          <cell r="S136">
            <v>3.999999999999996</v>
          </cell>
          <cell r="T136">
            <v>11.999999999999988</v>
          </cell>
          <cell r="U136">
            <v>3.999999999999996</v>
          </cell>
          <cell r="V136">
            <v>40.999999999999964</v>
          </cell>
          <cell r="W136">
            <v>279</v>
          </cell>
          <cell r="Y136">
            <v>23556.536237129098</v>
          </cell>
          <cell r="Z136">
            <v>45115.656099340005</v>
          </cell>
          <cell r="AA136">
            <v>17614.251722987985</v>
          </cell>
          <cell r="AB136">
            <v>1297.2392281213617</v>
          </cell>
          <cell r="AC136">
            <v>2470.9917022796635</v>
          </cell>
          <cell r="AD136">
            <v>680.19130255144569</v>
          </cell>
          <cell r="AE136">
            <v>90734.86629240957</v>
          </cell>
          <cell r="AG136">
            <v>88921.532951162488</v>
          </cell>
          <cell r="AH136">
            <v>1813.333341247082</v>
          </cell>
          <cell r="AI136">
            <v>1.9984967359772E-2</v>
          </cell>
        </row>
        <row r="137">
          <cell r="E137">
            <v>5208</v>
          </cell>
          <cell r="F137" t="str">
            <v>St Theresa's Catholic Primary School</v>
          </cell>
          <cell r="G137">
            <v>0.27536231884057999</v>
          </cell>
          <cell r="H137">
            <v>0.352657004830918</v>
          </cell>
          <cell r="I137">
            <v>2.8985507246376802E-2</v>
          </cell>
          <cell r="J137">
            <v>0.15942028985507201</v>
          </cell>
          <cell r="K137">
            <v>6.7632850241545903E-2</v>
          </cell>
          <cell r="L137">
            <v>4.3478260869565202E-2</v>
          </cell>
          <cell r="M137">
            <v>7.2463768115942004E-2</v>
          </cell>
          <cell r="N137">
            <v>0.99999999999999978</v>
          </cell>
          <cell r="P137">
            <v>57.000000000000057</v>
          </cell>
          <cell r="Q137">
            <v>73.000000000000028</v>
          </cell>
          <cell r="R137">
            <v>5.9999999999999982</v>
          </cell>
          <cell r="S137">
            <v>32.999999999999908</v>
          </cell>
          <cell r="T137">
            <v>14.000000000000002</v>
          </cell>
          <cell r="U137">
            <v>8.9999999999999964</v>
          </cell>
          <cell r="V137">
            <v>14.999999999999995</v>
          </cell>
          <cell r="W137">
            <v>207</v>
          </cell>
          <cell r="Y137">
            <v>27973.38678159086</v>
          </cell>
          <cell r="Z137">
            <v>27445.357460431878</v>
          </cell>
          <cell r="AA137">
            <v>2113.7102067585597</v>
          </cell>
          <cell r="AB137">
            <v>10702.223632001216</v>
          </cell>
          <cell r="AC137">
            <v>2882.8236526596106</v>
          </cell>
          <cell r="AD137">
            <v>1530.4304307407538</v>
          </cell>
          <cell r="AE137">
            <v>72647.932164182886</v>
          </cell>
          <cell r="AG137">
            <v>70649.190462067942</v>
          </cell>
          <cell r="AH137">
            <v>1998.7417021149449</v>
          </cell>
          <cell r="AI137">
            <v>2.7512712923443275E-2</v>
          </cell>
        </row>
        <row r="138">
          <cell r="E138">
            <v>3424</v>
          </cell>
          <cell r="F138" t="str">
            <v>St Thomas More Catholic Primary, A Voluntary Academy</v>
          </cell>
          <cell r="G138">
            <v>0.13397129186602899</v>
          </cell>
          <cell r="H138">
            <v>0.26794258373205698</v>
          </cell>
          <cell r="I138">
            <v>9.0909090909090898E-2</v>
          </cell>
          <cell r="J138">
            <v>0</v>
          </cell>
          <cell r="K138">
            <v>1.9138755980861202E-2</v>
          </cell>
          <cell r="L138">
            <v>0.143540669856459</v>
          </cell>
          <cell r="M138">
            <v>0.34449760765550203</v>
          </cell>
          <cell r="N138">
            <v>0.99999999999999911</v>
          </cell>
          <cell r="P138">
            <v>28.00000000000006</v>
          </cell>
          <cell r="Q138">
            <v>55.999999999999908</v>
          </cell>
          <cell r="R138">
            <v>18.999999999999996</v>
          </cell>
          <cell r="S138">
            <v>0</v>
          </cell>
          <cell r="T138">
            <v>3.9999999999999911</v>
          </cell>
          <cell r="U138">
            <v>29.999999999999929</v>
          </cell>
          <cell r="V138">
            <v>71.999999999999929</v>
          </cell>
          <cell r="W138">
            <v>209</v>
          </cell>
          <cell r="Y138">
            <v>13741.312804992018</v>
          </cell>
          <cell r="Z138">
            <v>21053.972846358658</v>
          </cell>
          <cell r="AA138">
            <v>6693.4156547354396</v>
          </cell>
          <cell r="AB138">
            <v>0</v>
          </cell>
          <cell r="AC138">
            <v>823.66390075988681</v>
          </cell>
          <cell r="AD138">
            <v>5101.4347691358353</v>
          </cell>
          <cell r="AE138">
            <v>47413.799975981841</v>
          </cell>
          <cell r="AG138">
            <v>48633.434739228534</v>
          </cell>
          <cell r="AH138">
            <v>-1219.6347632466932</v>
          </cell>
          <cell r="AI138">
            <v>-2.5723202187222224E-2</v>
          </cell>
        </row>
        <row r="139">
          <cell r="E139">
            <v>3414</v>
          </cell>
          <cell r="F139" t="str">
            <v>St Thomas of Canterbury School, a Catholic Voluntary Academy</v>
          </cell>
          <cell r="G139">
            <v>3.3175355450236997E-2</v>
          </cell>
          <cell r="H139">
            <v>6.1611374407582901E-2</v>
          </cell>
          <cell r="I139">
            <v>6.1611374407582901E-2</v>
          </cell>
          <cell r="J139">
            <v>3.7914691943128E-2</v>
          </cell>
          <cell r="K139">
            <v>3.7914691943128E-2</v>
          </cell>
          <cell r="L139">
            <v>5.6872037914691899E-2</v>
          </cell>
          <cell r="M139">
            <v>0.71090047393364897</v>
          </cell>
          <cell r="N139">
            <v>0.99999999999999967</v>
          </cell>
          <cell r="P139">
            <v>7.0000000000000062</v>
          </cell>
          <cell r="Q139">
            <v>12.999999999999993</v>
          </cell>
          <cell r="R139">
            <v>12.999999999999993</v>
          </cell>
          <cell r="S139">
            <v>8.0000000000000071</v>
          </cell>
          <cell r="T139">
            <v>8.0000000000000071</v>
          </cell>
          <cell r="U139">
            <v>11.999999999999991</v>
          </cell>
          <cell r="V139">
            <v>149.99999999999994</v>
          </cell>
          <cell r="W139">
            <v>211</v>
          </cell>
          <cell r="Y139">
            <v>3435.3282012479999</v>
          </cell>
          <cell r="Z139">
            <v>4887.5294107618365</v>
          </cell>
          <cell r="AA139">
            <v>4579.7054479768776</v>
          </cell>
          <cell r="AB139">
            <v>2594.4784562427285</v>
          </cell>
          <cell r="AC139">
            <v>1647.3278015197786</v>
          </cell>
          <cell r="AD139">
            <v>2040.5739076543375</v>
          </cell>
          <cell r="AE139">
            <v>19184.943225403556</v>
          </cell>
          <cell r="AG139">
            <v>18485.036422830181</v>
          </cell>
          <cell r="AH139">
            <v>699.9068025733759</v>
          </cell>
          <cell r="AI139">
            <v>3.6482088810489734E-2</v>
          </cell>
        </row>
        <row r="140">
          <cell r="E140">
            <v>3412</v>
          </cell>
          <cell r="F140" t="str">
            <v>St Wilfrid's Catholic Primary School</v>
          </cell>
          <cell r="G140">
            <v>1.30293159609121E-2</v>
          </cell>
          <cell r="H140">
            <v>1.62866449511401E-2</v>
          </cell>
          <cell r="I140">
            <v>1.30293159609121E-2</v>
          </cell>
          <cell r="J140">
            <v>1.9543973941368101E-2</v>
          </cell>
          <cell r="K140">
            <v>6.5146579804560298E-3</v>
          </cell>
          <cell r="L140">
            <v>2.2801302931596101E-2</v>
          </cell>
          <cell r="M140">
            <v>0.90879478827361604</v>
          </cell>
          <cell r="N140">
            <v>1.0000000000000007</v>
          </cell>
          <cell r="P140">
            <v>4.0000000000000142</v>
          </cell>
          <cell r="Q140">
            <v>5.0000000000000107</v>
          </cell>
          <cell r="R140">
            <v>4.0000000000000142</v>
          </cell>
          <cell r="S140">
            <v>6.0000000000000071</v>
          </cell>
          <cell r="T140">
            <v>2.0000000000000013</v>
          </cell>
          <cell r="U140">
            <v>7.0000000000000036</v>
          </cell>
          <cell r="V140">
            <v>279.00000000000011</v>
          </cell>
          <cell r="W140">
            <v>307</v>
          </cell>
          <cell r="Y140">
            <v>1963.0446864274338</v>
          </cell>
          <cell r="Z140">
            <v>1879.8190041391729</v>
          </cell>
          <cell r="AA140">
            <v>1409.1401378390451</v>
          </cell>
          <cell r="AB140">
            <v>1945.8588421820471</v>
          </cell>
          <cell r="AC140">
            <v>411.8319503799446</v>
          </cell>
          <cell r="AD140">
            <v>1190.3347794650317</v>
          </cell>
          <cell r="AE140">
            <v>8800.0294004326752</v>
          </cell>
          <cell r="AG140">
            <v>8670.1781715450179</v>
          </cell>
          <cell r="AH140">
            <v>129.85122888765727</v>
          </cell>
          <cell r="AI140">
            <v>1.4755772166087628E-2</v>
          </cell>
        </row>
        <row r="141">
          <cell r="E141">
            <v>2294</v>
          </cell>
          <cell r="F141" t="str">
            <v>Stannington Infant School</v>
          </cell>
          <cell r="G141">
            <v>0</v>
          </cell>
          <cell r="H141">
            <v>5.5248618784530402E-3</v>
          </cell>
          <cell r="I141">
            <v>0</v>
          </cell>
          <cell r="J141">
            <v>0</v>
          </cell>
          <cell r="K141">
            <v>0.13259668508287301</v>
          </cell>
          <cell r="L141">
            <v>5.5248618784530402E-3</v>
          </cell>
          <cell r="M141">
            <v>0.85635359116022103</v>
          </cell>
          <cell r="N141">
            <v>1.0000000000000002</v>
          </cell>
          <cell r="P141">
            <v>0</v>
          </cell>
          <cell r="Q141">
            <v>1.0000000000000002</v>
          </cell>
          <cell r="R141">
            <v>0</v>
          </cell>
          <cell r="S141">
            <v>0</v>
          </cell>
          <cell r="T141">
            <v>24.000000000000014</v>
          </cell>
          <cell r="U141">
            <v>1.0000000000000002</v>
          </cell>
          <cell r="V141">
            <v>155</v>
          </cell>
          <cell r="W141">
            <v>181</v>
          </cell>
          <cell r="Y141">
            <v>0</v>
          </cell>
          <cell r="Z141">
            <v>375.96380082783384</v>
          </cell>
          <cell r="AA141">
            <v>0</v>
          </cell>
          <cell r="AB141">
            <v>0</v>
          </cell>
          <cell r="AC141">
            <v>4941.9834045593343</v>
          </cell>
          <cell r="AD141">
            <v>170.04782563786162</v>
          </cell>
          <cell r="AE141">
            <v>5487.9950310250297</v>
          </cell>
          <cell r="AG141">
            <v>6450.4269358327892</v>
          </cell>
          <cell r="AH141">
            <v>-962.43190480775957</v>
          </cell>
          <cell r="AI141">
            <v>-0.17537040382997571</v>
          </cell>
        </row>
        <row r="142">
          <cell r="E142">
            <v>2303</v>
          </cell>
          <cell r="F142" t="str">
            <v>Stocksbridge Junior School</v>
          </cell>
          <cell r="G142">
            <v>0</v>
          </cell>
          <cell r="H142">
            <v>0</v>
          </cell>
          <cell r="I142">
            <v>0</v>
          </cell>
          <cell r="J142">
            <v>0.35389610389610399</v>
          </cell>
          <cell r="K142">
            <v>0</v>
          </cell>
          <cell r="L142">
            <v>0.100649350649351</v>
          </cell>
          <cell r="M142">
            <v>0.54545454545454497</v>
          </cell>
          <cell r="N142">
            <v>1</v>
          </cell>
          <cell r="P142">
            <v>0</v>
          </cell>
          <cell r="Q142">
            <v>0</v>
          </cell>
          <cell r="R142">
            <v>0</v>
          </cell>
          <cell r="S142">
            <v>109.00000000000003</v>
          </cell>
          <cell r="T142">
            <v>0</v>
          </cell>
          <cell r="U142">
            <v>31.00000000000011</v>
          </cell>
          <cell r="V142">
            <v>167.99999999999986</v>
          </cell>
          <cell r="W142">
            <v>308</v>
          </cell>
          <cell r="Y142">
            <v>0</v>
          </cell>
          <cell r="Z142">
            <v>0</v>
          </cell>
          <cell r="AA142">
            <v>0</v>
          </cell>
          <cell r="AB142">
            <v>35349.768966307151</v>
          </cell>
          <cell r="AC142">
            <v>0</v>
          </cell>
          <cell r="AD142">
            <v>5271.4825947737281</v>
          </cell>
          <cell r="AE142">
            <v>40621.251561080877</v>
          </cell>
          <cell r="AG142">
            <v>41452.114103831889</v>
          </cell>
          <cell r="AH142">
            <v>-830.86254275101237</v>
          </cell>
          <cell r="AI142">
            <v>-2.0453888317588417E-2</v>
          </cell>
        </row>
        <row r="143">
          <cell r="E143">
            <v>2302</v>
          </cell>
          <cell r="F143" t="str">
            <v>Stocksbridge Nursery Infant School</v>
          </cell>
          <cell r="G143">
            <v>0</v>
          </cell>
          <cell r="H143">
            <v>1.03092783505155E-2</v>
          </cell>
          <cell r="I143">
            <v>0</v>
          </cell>
          <cell r="J143">
            <v>0.27319587628865999</v>
          </cell>
          <cell r="K143">
            <v>0</v>
          </cell>
          <cell r="L143">
            <v>0.13917525773195899</v>
          </cell>
          <cell r="M143">
            <v>0.57731958762886604</v>
          </cell>
          <cell r="N143">
            <v>1.0000000000000004</v>
          </cell>
          <cell r="P143">
            <v>0</v>
          </cell>
          <cell r="Q143">
            <v>2.0000000000000071</v>
          </cell>
          <cell r="R143">
            <v>0</v>
          </cell>
          <cell r="S143">
            <v>53.000000000000036</v>
          </cell>
          <cell r="T143">
            <v>0</v>
          </cell>
          <cell r="U143">
            <v>27.000000000000043</v>
          </cell>
          <cell r="V143">
            <v>112.00000000000001</v>
          </cell>
          <cell r="W143">
            <v>194</v>
          </cell>
          <cell r="Y143">
            <v>0</v>
          </cell>
          <cell r="Z143">
            <v>751.92760165567017</v>
          </cell>
          <cell r="AA143">
            <v>0</v>
          </cell>
          <cell r="AB143">
            <v>17188.419772608071</v>
          </cell>
          <cell r="AC143">
            <v>0</v>
          </cell>
          <cell r="AD143">
            <v>4591.2912922222704</v>
          </cell>
          <cell r="AE143">
            <v>22531.638666486011</v>
          </cell>
          <cell r="AG143">
            <v>23748.244492175712</v>
          </cell>
          <cell r="AH143">
            <v>-1216.6058256897013</v>
          </cell>
          <cell r="AI143">
            <v>-5.3995443638074313E-2</v>
          </cell>
        </row>
        <row r="144">
          <cell r="E144">
            <v>2350</v>
          </cell>
          <cell r="F144" t="str">
            <v>Stradbroke Primary School</v>
          </cell>
          <cell r="G144">
            <v>0.16504854368932001</v>
          </cell>
          <cell r="H144">
            <v>5.8252427184466E-2</v>
          </cell>
          <cell r="I144">
            <v>5.5825242718446598E-2</v>
          </cell>
          <cell r="J144">
            <v>0.225728155339806</v>
          </cell>
          <cell r="K144">
            <v>0.28155339805825202</v>
          </cell>
          <cell r="L144">
            <v>0.16262135922330101</v>
          </cell>
          <cell r="M144">
            <v>5.09708737864078E-2</v>
          </cell>
          <cell r="N144">
            <v>0.99999999999999956</v>
          </cell>
          <cell r="P144">
            <v>67.999999999999844</v>
          </cell>
          <cell r="Q144">
            <v>23.999999999999993</v>
          </cell>
          <cell r="R144">
            <v>23</v>
          </cell>
          <cell r="S144">
            <v>93.000000000000071</v>
          </cell>
          <cell r="T144">
            <v>115.99999999999983</v>
          </cell>
          <cell r="U144">
            <v>67.000000000000014</v>
          </cell>
          <cell r="V144">
            <v>21.000000000000014</v>
          </cell>
          <cell r="W144">
            <v>412</v>
          </cell>
          <cell r="Y144">
            <v>33371.759669266175</v>
          </cell>
          <cell r="Z144">
            <v>9023.131219868008</v>
          </cell>
          <cell r="AA144">
            <v>8102.5557925744806</v>
          </cell>
          <cell r="AB144">
            <v>30160.812053821715</v>
          </cell>
          <cell r="AC144">
            <v>23886.253122036735</v>
          </cell>
          <cell r="AD144">
            <v>11393.204317736729</v>
          </cell>
          <cell r="AE144">
            <v>115937.71617530385</v>
          </cell>
          <cell r="AG144">
            <v>116045.81024608521</v>
          </cell>
          <cell r="AH144">
            <v>-108.094070781357</v>
          </cell>
          <cell r="AI144">
            <v>-9.3234604188608609E-4</v>
          </cell>
        </row>
        <row r="145">
          <cell r="E145">
            <v>2230</v>
          </cell>
          <cell r="F145" t="str">
            <v>Tinsley Meadows Primary School</v>
          </cell>
          <cell r="G145">
            <v>9.2081031307550704E-3</v>
          </cell>
          <cell r="H145">
            <v>0</v>
          </cell>
          <cell r="I145">
            <v>5.5248618784530402E-3</v>
          </cell>
          <cell r="J145">
            <v>0.31491712707182301</v>
          </cell>
          <cell r="K145">
            <v>0.650092081031308</v>
          </cell>
          <cell r="L145">
            <v>5.5248618784530402E-3</v>
          </cell>
          <cell r="M145">
            <v>1.47329650092081E-2</v>
          </cell>
          <cell r="N145">
            <v>1.0000000000000002</v>
          </cell>
          <cell r="P145">
            <v>5.0000000000000036</v>
          </cell>
          <cell r="Q145">
            <v>0</v>
          </cell>
          <cell r="R145">
            <v>3.0000000000000009</v>
          </cell>
          <cell r="S145">
            <v>170.99999999999989</v>
          </cell>
          <cell r="T145">
            <v>353.00000000000023</v>
          </cell>
          <cell r="U145">
            <v>3.0000000000000009</v>
          </cell>
          <cell r="V145">
            <v>7.9999999999999982</v>
          </cell>
          <cell r="W145">
            <v>543</v>
          </cell>
          <cell r="Y145">
            <v>2453.8058580342854</v>
          </cell>
          <cell r="Z145">
            <v>0</v>
          </cell>
          <cell r="AA145">
            <v>1056.8551033792803</v>
          </cell>
          <cell r="AB145">
            <v>55456.977002188236</v>
          </cell>
          <cell r="AC145">
            <v>72688.339242060218</v>
          </cell>
          <cell r="AD145">
            <v>510.14347691358495</v>
          </cell>
          <cell r="AE145">
            <v>132166.12068257562</v>
          </cell>
          <cell r="AG145">
            <v>127091.64051189163</v>
          </cell>
          <cell r="AH145">
            <v>5074.4801706839935</v>
          </cell>
          <cell r="AI145">
            <v>3.8394712233942398E-2</v>
          </cell>
        </row>
        <row r="146">
          <cell r="E146">
            <v>5206</v>
          </cell>
          <cell r="F146" t="str">
            <v>Totley All Saints Church of England Voluntary Aided Primary School</v>
          </cell>
          <cell r="G146">
            <v>4.6728971962616802E-3</v>
          </cell>
          <cell r="H146">
            <v>4.6728971962616802E-3</v>
          </cell>
          <cell r="I146">
            <v>1.86915887850467E-2</v>
          </cell>
          <cell r="J146">
            <v>0</v>
          </cell>
          <cell r="K146">
            <v>0</v>
          </cell>
          <cell r="L146">
            <v>1.4018691588785E-2</v>
          </cell>
          <cell r="M146">
            <v>0.95794392523364502</v>
          </cell>
          <cell r="N146">
            <v>1</v>
          </cell>
          <cell r="P146">
            <v>0.99999999999999956</v>
          </cell>
          <cell r="Q146">
            <v>0.99999999999999956</v>
          </cell>
          <cell r="R146">
            <v>3.9999999999999938</v>
          </cell>
          <cell r="S146">
            <v>0</v>
          </cell>
          <cell r="T146">
            <v>0</v>
          </cell>
          <cell r="U146">
            <v>2.9999999999999898</v>
          </cell>
          <cell r="V146">
            <v>205.00000000000003</v>
          </cell>
          <cell r="W146">
            <v>214</v>
          </cell>
          <cell r="Y146">
            <v>490.76117160685646</v>
          </cell>
          <cell r="Z146">
            <v>375.96380082783361</v>
          </cell>
          <cell r="AA146">
            <v>1409.1401378390378</v>
          </cell>
          <cell r="AB146">
            <v>0</v>
          </cell>
          <cell r="AC146">
            <v>0</v>
          </cell>
          <cell r="AD146">
            <v>510.14347691358302</v>
          </cell>
          <cell r="AE146">
            <v>2786.0085871873107</v>
          </cell>
          <cell r="AG146">
            <v>1666.7470079999575</v>
          </cell>
          <cell r="AH146">
            <v>1119.2615791873532</v>
          </cell>
          <cell r="AI146">
            <v>0.40174376501736975</v>
          </cell>
        </row>
        <row r="147">
          <cell r="E147">
            <v>2203</v>
          </cell>
          <cell r="F147" t="str">
            <v>Totley Primary School</v>
          </cell>
          <cell r="G147">
            <v>2.5062656641604E-3</v>
          </cell>
          <cell r="H147">
            <v>5.0125313283208E-3</v>
          </cell>
          <cell r="I147">
            <v>7.5187969924812E-3</v>
          </cell>
          <cell r="J147">
            <v>0</v>
          </cell>
          <cell r="K147">
            <v>0</v>
          </cell>
          <cell r="L147">
            <v>0</v>
          </cell>
          <cell r="M147">
            <v>0.98496240601503804</v>
          </cell>
          <cell r="N147">
            <v>1.0000000000000004</v>
          </cell>
          <cell r="P147">
            <v>0.99999999999999956</v>
          </cell>
          <cell r="Q147">
            <v>1.9999999999999991</v>
          </cell>
          <cell r="R147">
            <v>2.9999999999999987</v>
          </cell>
          <cell r="S147">
            <v>0</v>
          </cell>
          <cell r="T147">
            <v>0</v>
          </cell>
          <cell r="U147">
            <v>0</v>
          </cell>
          <cell r="V147">
            <v>393.00000000000017</v>
          </cell>
          <cell r="W147">
            <v>399</v>
          </cell>
          <cell r="Y147">
            <v>490.76117160685646</v>
          </cell>
          <cell r="Z147">
            <v>751.92760165566722</v>
          </cell>
          <cell r="AA147">
            <v>1056.8551033792796</v>
          </cell>
          <cell r="AB147">
            <v>0</v>
          </cell>
          <cell r="AC147">
            <v>0</v>
          </cell>
          <cell r="AD147">
            <v>0</v>
          </cell>
          <cell r="AE147">
            <v>2299.5438766418033</v>
          </cell>
          <cell r="AG147">
            <v>2076.6662257447279</v>
          </cell>
          <cell r="AH147">
            <v>222.87765089707545</v>
          </cell>
          <cell r="AI147">
            <v>9.6922547623905494E-2</v>
          </cell>
        </row>
        <row r="148">
          <cell r="E148">
            <v>2351</v>
          </cell>
          <cell r="F148" t="str">
            <v>Walkley Primary School</v>
          </cell>
          <cell r="G148">
            <v>8.6956521739130401E-3</v>
          </cell>
          <cell r="H148">
            <v>6.6666666666666693E-2</v>
          </cell>
          <cell r="I148">
            <v>1.4492753623188401E-2</v>
          </cell>
          <cell r="J148">
            <v>0.14202898550724599</v>
          </cell>
          <cell r="K148">
            <v>0.27536231884057999</v>
          </cell>
          <cell r="L148">
            <v>5.7971014492753603E-2</v>
          </cell>
          <cell r="M148">
            <v>0.434782608695652</v>
          </cell>
          <cell r="N148">
            <v>0.99999999999999967</v>
          </cell>
          <cell r="P148">
            <v>2.9999999999999987</v>
          </cell>
          <cell r="Q148">
            <v>23.000000000000011</v>
          </cell>
          <cell r="R148">
            <v>4.9999999999999982</v>
          </cell>
          <cell r="S148">
            <v>48.999999999999865</v>
          </cell>
          <cell r="T148">
            <v>95.000000000000099</v>
          </cell>
          <cell r="U148">
            <v>19.999999999999993</v>
          </cell>
          <cell r="V148">
            <v>149.99999999999994</v>
          </cell>
          <cell r="W148">
            <v>345</v>
          </cell>
          <cell r="Y148">
            <v>1472.2835148205695</v>
          </cell>
          <cell r="Z148">
            <v>8647.1674190401809</v>
          </cell>
          <cell r="AA148">
            <v>1761.4251722987995</v>
          </cell>
          <cell r="AB148">
            <v>15891.180544486655</v>
          </cell>
          <cell r="AC148">
            <v>19562.017643047377</v>
          </cell>
          <cell r="AD148">
            <v>3400.9565127572305</v>
          </cell>
          <cell r="AE148">
            <v>50735.030806450814</v>
          </cell>
          <cell r="AG148">
            <v>47968.282801001165</v>
          </cell>
          <cell r="AH148">
            <v>2766.7480054496482</v>
          </cell>
          <cell r="AI148">
            <v>5.4533287187791837E-2</v>
          </cell>
        </row>
        <row r="149">
          <cell r="E149">
            <v>3432</v>
          </cell>
          <cell r="F149" t="str">
            <v>Watercliffe Meadow Community Primary School</v>
          </cell>
          <cell r="G149">
            <v>0.331695331695332</v>
          </cell>
          <cell r="H149">
            <v>0.331695331695332</v>
          </cell>
          <cell r="I149">
            <v>0.144963144963145</v>
          </cell>
          <cell r="J149">
            <v>4.9140049140049104E-3</v>
          </cell>
          <cell r="K149">
            <v>0.13022113022112999</v>
          </cell>
          <cell r="L149">
            <v>1.4742014742014699E-2</v>
          </cell>
          <cell r="M149">
            <v>4.1769041769041802E-2</v>
          </cell>
          <cell r="N149">
            <v>1.0000000000000004</v>
          </cell>
          <cell r="P149">
            <v>135.00000000000011</v>
          </cell>
          <cell r="Q149">
            <v>135.00000000000011</v>
          </cell>
          <cell r="R149">
            <v>59.000000000000014</v>
          </cell>
          <cell r="S149">
            <v>1.9999999999999984</v>
          </cell>
          <cell r="T149">
            <v>52.999999999999908</v>
          </cell>
          <cell r="U149">
            <v>5.9999999999999822</v>
          </cell>
          <cell r="V149">
            <v>17.000000000000014</v>
          </cell>
          <cell r="W149">
            <v>407</v>
          </cell>
          <cell r="Y149">
            <v>66252.758166925705</v>
          </cell>
          <cell r="Z149">
            <v>50755.113111757601</v>
          </cell>
          <cell r="AA149">
            <v>20784.817033125848</v>
          </cell>
          <cell r="AB149">
            <v>648.6196140606811</v>
          </cell>
          <cell r="AC149">
            <v>10913.546685068506</v>
          </cell>
          <cell r="AD149">
            <v>1020.2869538271665</v>
          </cell>
          <cell r="AE149">
            <v>150375.14156476551</v>
          </cell>
          <cell r="AG149">
            <v>151355.08196302911</v>
          </cell>
          <cell r="AH149">
            <v>-979.94039826359949</v>
          </cell>
          <cell r="AI149">
            <v>-6.5166382426416281E-3</v>
          </cell>
        </row>
        <row r="150">
          <cell r="E150">
            <v>2319</v>
          </cell>
          <cell r="F150" t="str">
            <v>Waterthorpe Infant School</v>
          </cell>
          <cell r="G150">
            <v>8.0645161290322596E-3</v>
          </cell>
          <cell r="H150">
            <v>6.4516129032258104E-2</v>
          </cell>
          <cell r="I150">
            <v>4.0322580645161303E-2</v>
          </cell>
          <cell r="J150">
            <v>0.15322580645161299</v>
          </cell>
          <cell r="K150">
            <v>4.0322580645161303E-2</v>
          </cell>
          <cell r="L150">
            <v>0.12903225806451599</v>
          </cell>
          <cell r="M150">
            <v>0.56451612903225801</v>
          </cell>
          <cell r="N150">
            <v>1</v>
          </cell>
          <cell r="P150">
            <v>1.0000000000000002</v>
          </cell>
          <cell r="Q150">
            <v>8.0000000000000053</v>
          </cell>
          <cell r="R150">
            <v>5.0000000000000018</v>
          </cell>
          <cell r="S150">
            <v>19.000000000000011</v>
          </cell>
          <cell r="T150">
            <v>5.0000000000000018</v>
          </cell>
          <cell r="U150">
            <v>15.999999999999982</v>
          </cell>
          <cell r="V150">
            <v>70</v>
          </cell>
          <cell r="W150">
            <v>124</v>
          </cell>
          <cell r="Y150">
            <v>490.76117160685681</v>
          </cell>
          <cell r="Z150">
            <v>3007.7104066226721</v>
          </cell>
          <cell r="AA150">
            <v>1761.4251722988008</v>
          </cell>
          <cell r="AB150">
            <v>6161.8863335764781</v>
          </cell>
          <cell r="AC150">
            <v>1029.5798759498612</v>
          </cell>
          <cell r="AD150">
            <v>2720.7652102057823</v>
          </cell>
          <cell r="AE150">
            <v>15172.128170260452</v>
          </cell>
          <cell r="AG150">
            <v>16365.831410338344</v>
          </cell>
          <cell r="AH150">
            <v>-1193.7032400778917</v>
          </cell>
          <cell r="AI150">
            <v>-7.8677376481548669E-2</v>
          </cell>
        </row>
        <row r="151">
          <cell r="E151">
            <v>2352</v>
          </cell>
          <cell r="F151" t="str">
            <v>Westways Primary School</v>
          </cell>
          <cell r="G151">
            <v>3.4965034965035E-3</v>
          </cell>
          <cell r="H151">
            <v>3.4965034965035002E-2</v>
          </cell>
          <cell r="I151">
            <v>1.9230769230769201E-2</v>
          </cell>
          <cell r="J151">
            <v>1.22377622377622E-2</v>
          </cell>
          <cell r="K151">
            <v>0.13986013986014001</v>
          </cell>
          <cell r="L151">
            <v>2.27272727272727E-2</v>
          </cell>
          <cell r="M151">
            <v>0.76748251748251795</v>
          </cell>
          <cell r="N151">
            <v>1.0000000000000004</v>
          </cell>
          <cell r="P151">
            <v>2.0000000000000018</v>
          </cell>
          <cell r="Q151">
            <v>20.000000000000021</v>
          </cell>
          <cell r="R151">
            <v>10.999999999999982</v>
          </cell>
          <cell r="S151">
            <v>6.9999999999999787</v>
          </cell>
          <cell r="T151">
            <v>80.000000000000085</v>
          </cell>
          <cell r="U151">
            <v>12.999999999999984</v>
          </cell>
          <cell r="V151">
            <v>439.00000000000028</v>
          </cell>
          <cell r="W151">
            <v>572</v>
          </cell>
          <cell r="Y151">
            <v>981.52234321371429</v>
          </cell>
          <cell r="Z151">
            <v>7519.2760165566833</v>
          </cell>
          <cell r="AA151">
            <v>3875.1353790573539</v>
          </cell>
          <cell r="AB151">
            <v>2270.1686492123786</v>
          </cell>
          <cell r="AC151">
            <v>16473.27801519779</v>
          </cell>
          <cell r="AD151">
            <v>2210.6217332921979</v>
          </cell>
          <cell r="AE151">
            <v>33330.002136530115</v>
          </cell>
          <cell r="AG151">
            <v>33211.190962189408</v>
          </cell>
          <cell r="AH151">
            <v>118.8111743407062</v>
          </cell>
          <cell r="AI151">
            <v>3.5646914708861543E-3</v>
          </cell>
        </row>
        <row r="152">
          <cell r="E152">
            <v>2311</v>
          </cell>
          <cell r="F152" t="str">
            <v>Wharncliffe Side Primary School</v>
          </cell>
          <cell r="G152">
            <v>7.09219858156028E-3</v>
          </cell>
          <cell r="H152">
            <v>1.41843971631206E-2</v>
          </cell>
          <cell r="I152">
            <v>3.54609929078014E-2</v>
          </cell>
          <cell r="J152">
            <v>2.1276595744680899E-2</v>
          </cell>
          <cell r="K152">
            <v>2.8368794326241099E-2</v>
          </cell>
          <cell r="L152">
            <v>0.60283687943262398</v>
          </cell>
          <cell r="M152">
            <v>0.290780141843972</v>
          </cell>
          <cell r="N152">
            <v>1.0000000000000002</v>
          </cell>
          <cell r="P152">
            <v>0.99999999999999944</v>
          </cell>
          <cell r="Q152">
            <v>2.0000000000000044</v>
          </cell>
          <cell r="R152">
            <v>4.9999999999999973</v>
          </cell>
          <cell r="S152">
            <v>3.0000000000000067</v>
          </cell>
          <cell r="T152">
            <v>3.9999999999999951</v>
          </cell>
          <cell r="U152">
            <v>84.999999999999986</v>
          </cell>
          <cell r="V152">
            <v>41.00000000000005</v>
          </cell>
          <cell r="W152">
            <v>141</v>
          </cell>
          <cell r="Y152">
            <v>490.76117160685641</v>
          </cell>
          <cell r="Z152">
            <v>751.92760165566926</v>
          </cell>
          <cell r="AA152">
            <v>1761.4251722987992</v>
          </cell>
          <cell r="AB152">
            <v>972.92942109102455</v>
          </cell>
          <cell r="AC152">
            <v>823.66390075988761</v>
          </cell>
          <cell r="AD152">
            <v>14454.065179218233</v>
          </cell>
          <cell r="AE152">
            <v>19254.772446630472</v>
          </cell>
          <cell r="AG152">
            <v>18438.630473651512</v>
          </cell>
          <cell r="AH152">
            <v>816.14197297895953</v>
          </cell>
          <cell r="AI152">
            <v>4.2386477183311608E-2</v>
          </cell>
        </row>
        <row r="153">
          <cell r="E153">
            <v>2040</v>
          </cell>
          <cell r="F153" t="str">
            <v>Whiteways Primary School</v>
          </cell>
          <cell r="G153">
            <v>2.7027027027027001E-2</v>
          </cell>
          <cell r="H153">
            <v>5.4054054054054099E-2</v>
          </cell>
          <cell r="I153">
            <v>0.49877149877149901</v>
          </cell>
          <cell r="J153">
            <v>2.2113022113022102E-2</v>
          </cell>
          <cell r="K153">
            <v>0.33906633906633898</v>
          </cell>
          <cell r="L153">
            <v>5.65110565110565E-2</v>
          </cell>
          <cell r="M153">
            <v>2.45700245700246E-3</v>
          </cell>
          <cell r="N153">
            <v>1.0000000000000002</v>
          </cell>
          <cell r="P153">
            <v>11.027027027027016</v>
          </cell>
          <cell r="Q153">
            <v>22.054054054054074</v>
          </cell>
          <cell r="R153">
            <v>203.49877149877159</v>
          </cell>
          <cell r="S153">
            <v>9.0221130221130181</v>
          </cell>
          <cell r="T153">
            <v>138.33906633906631</v>
          </cell>
          <cell r="U153">
            <v>23.056511056511052</v>
          </cell>
          <cell r="V153">
            <v>1.0024570024570036</v>
          </cell>
          <cell r="W153">
            <v>408</v>
          </cell>
          <cell r="Y153">
            <v>5411.6367031242517</v>
          </cell>
          <cell r="Z153">
            <v>8291.5259858246663</v>
          </cell>
          <cell r="AA153">
            <v>71689.571729963587</v>
          </cell>
          <cell r="AB153">
            <v>2925.9597332073977</v>
          </cell>
          <cell r="AC153">
            <v>28486.223752079091</v>
          </cell>
          <cell r="AD153">
            <v>3920.7095719550193</v>
          </cell>
          <cell r="AE153">
            <v>120725.62747615401</v>
          </cell>
          <cell r="AG153">
            <v>119517.17375274425</v>
          </cell>
          <cell r="AH153">
            <v>1208.4537234097661</v>
          </cell>
          <cell r="AI153">
            <v>1.0009918761022489E-2</v>
          </cell>
        </row>
        <row r="154">
          <cell r="E154">
            <v>2027</v>
          </cell>
          <cell r="F154" t="str">
            <v>Wincobank Nursery and Infant School</v>
          </cell>
          <cell r="G154">
            <v>4.91803278688525E-2</v>
          </cell>
          <cell r="H154">
            <v>0.40163934426229497</v>
          </cell>
          <cell r="I154">
            <v>7.3770491803278701E-2</v>
          </cell>
          <cell r="J154">
            <v>0</v>
          </cell>
          <cell r="K154">
            <v>2.4590163934426201E-2</v>
          </cell>
          <cell r="L154">
            <v>0.23770491803278701</v>
          </cell>
          <cell r="M154">
            <v>0.213114754098361</v>
          </cell>
          <cell r="N154">
            <v>1.0000000000000004</v>
          </cell>
          <cell r="P154">
            <v>6.0000000000000053</v>
          </cell>
          <cell r="Q154">
            <v>48.999999999999986</v>
          </cell>
          <cell r="R154">
            <v>9.0000000000000018</v>
          </cell>
          <cell r="S154">
            <v>0</v>
          </cell>
          <cell r="T154">
            <v>2.9999999999999964</v>
          </cell>
          <cell r="U154">
            <v>29.000000000000014</v>
          </cell>
          <cell r="V154">
            <v>26.000000000000043</v>
          </cell>
          <cell r="W154">
            <v>122</v>
          </cell>
          <cell r="Y154">
            <v>2944.5670296411427</v>
          </cell>
          <cell r="Z154">
            <v>18422.22624056385</v>
          </cell>
          <cell r="AA154">
            <v>3170.5653101378407</v>
          </cell>
          <cell r="AB154">
            <v>0</v>
          </cell>
          <cell r="AC154">
            <v>617.74792556991576</v>
          </cell>
          <cell r="AD154">
            <v>4931.3869434979888</v>
          </cell>
          <cell r="AE154">
            <v>30086.49344941074</v>
          </cell>
          <cell r="AG154">
            <v>31250.539609391344</v>
          </cell>
          <cell r="AH154">
            <v>-1164.046159980604</v>
          </cell>
          <cell r="AI154">
            <v>-3.8689990973454651E-2</v>
          </cell>
        </row>
        <row r="155">
          <cell r="E155">
            <v>2361</v>
          </cell>
          <cell r="F155" t="str">
            <v>Windmill Hill Primary School</v>
          </cell>
          <cell r="G155">
            <v>1.2618296529968501E-2</v>
          </cell>
          <cell r="H155">
            <v>6.9400630914826497E-2</v>
          </cell>
          <cell r="I155">
            <v>6.3091482649842304E-3</v>
          </cell>
          <cell r="J155">
            <v>3.15457413249211E-3</v>
          </cell>
          <cell r="K155">
            <v>0.14511041009463699</v>
          </cell>
          <cell r="L155">
            <v>6.3091482649842304E-3</v>
          </cell>
          <cell r="M155">
            <v>0.75709779179810699</v>
          </cell>
          <cell r="N155">
            <v>0.99999999999999956</v>
          </cell>
          <cell r="P155">
            <v>4.0000000000000151</v>
          </cell>
          <cell r="Q155">
            <v>22</v>
          </cell>
          <cell r="R155">
            <v>2.0000000000000009</v>
          </cell>
          <cell r="S155">
            <v>0.99999999999999889</v>
          </cell>
          <cell r="T155">
            <v>45.999999999999922</v>
          </cell>
          <cell r="U155">
            <v>2.0000000000000009</v>
          </cell>
          <cell r="V155">
            <v>239.99999999999991</v>
          </cell>
          <cell r="W155">
            <v>317</v>
          </cell>
          <cell r="Y155">
            <v>1963.0446864274343</v>
          </cell>
          <cell r="Z155">
            <v>8271.2036182123429</v>
          </cell>
          <cell r="AA155">
            <v>704.57006891952039</v>
          </cell>
          <cell r="AB155">
            <v>324.30980703034044</v>
          </cell>
          <cell r="AC155">
            <v>9472.1348587387038</v>
          </cell>
          <cell r="AD155">
            <v>340.09565127572336</v>
          </cell>
          <cell r="AE155">
            <v>21075.358690604062</v>
          </cell>
          <cell r="AG155">
            <v>23527.81623357713</v>
          </cell>
          <cell r="AH155">
            <v>-2452.4575429730685</v>
          </cell>
          <cell r="AI155">
            <v>-0.11636611167459927</v>
          </cell>
        </row>
        <row r="156">
          <cell r="E156">
            <v>2043</v>
          </cell>
          <cell r="F156" t="str">
            <v>Wisewood Community Primary School</v>
          </cell>
          <cell r="G156">
            <v>6.5789473684210497E-3</v>
          </cell>
          <cell r="H156">
            <v>7.2368421052631596E-2</v>
          </cell>
          <cell r="I156">
            <v>0.157894736842105</v>
          </cell>
          <cell r="J156">
            <v>1.3157894736842099E-2</v>
          </cell>
          <cell r="K156">
            <v>1.3157894736842099E-2</v>
          </cell>
          <cell r="L156">
            <v>0.21052631578947401</v>
          </cell>
          <cell r="M156">
            <v>0.52631578947368396</v>
          </cell>
          <cell r="N156">
            <v>0.99999999999999978</v>
          </cell>
          <cell r="P156">
            <v>1.0065789473684206</v>
          </cell>
          <cell r="Q156">
            <v>11.072368421052634</v>
          </cell>
          <cell r="R156">
            <v>24.157894736842067</v>
          </cell>
          <cell r="S156">
            <v>2.0131578947368411</v>
          </cell>
          <cell r="T156">
            <v>2.0131578947368411</v>
          </cell>
          <cell r="U156">
            <v>32.210526315789522</v>
          </cell>
          <cell r="V156">
            <v>80.526315789473642</v>
          </cell>
          <cell r="W156">
            <v>153</v>
          </cell>
          <cell r="Y156">
            <v>493.98986352532262</v>
          </cell>
          <cell r="Z156">
            <v>4162.8097157450284</v>
          </cell>
          <cell r="AA156">
            <v>8510.4647798436636</v>
          </cell>
          <cell r="AB156">
            <v>652.88684836371203</v>
          </cell>
          <cell r="AC156">
            <v>414.54137110612794</v>
          </cell>
          <cell r="AD156">
            <v>5477.3299626511289</v>
          </cell>
          <cell r="AE156">
            <v>19712.022541234983</v>
          </cell>
          <cell r="AG156">
            <v>19010.970513521555</v>
          </cell>
          <cell r="AH156">
            <v>701.05202771342738</v>
          </cell>
          <cell r="AI156">
            <v>3.5564692879531658E-2</v>
          </cell>
        </row>
        <row r="157">
          <cell r="E157">
            <v>2139</v>
          </cell>
          <cell r="F157" t="str">
            <v>Woodhouse West Primary School</v>
          </cell>
          <cell r="G157">
            <v>3.2163742690058499E-2</v>
          </cell>
          <cell r="H157">
            <v>0.29532163742690098</v>
          </cell>
          <cell r="I157">
            <v>0.213450292397661</v>
          </cell>
          <cell r="J157">
            <v>2.3391812865497099E-2</v>
          </cell>
          <cell r="K157">
            <v>5.8479532163742701E-2</v>
          </cell>
          <cell r="L157">
            <v>0.24561403508771901</v>
          </cell>
          <cell r="M157">
            <v>0.13157894736842099</v>
          </cell>
          <cell r="N157">
            <v>1.0000000000000002</v>
          </cell>
          <cell r="P157">
            <v>11.032163742690065</v>
          </cell>
          <cell r="Q157">
            <v>101.29532163742704</v>
          </cell>
          <cell r="R157">
            <v>73.213450292397724</v>
          </cell>
          <cell r="S157">
            <v>8.0233918128655048</v>
          </cell>
          <cell r="T157">
            <v>20.058479532163748</v>
          </cell>
          <cell r="U157">
            <v>84.245614035087613</v>
          </cell>
          <cell r="V157">
            <v>45.131578947368396</v>
          </cell>
          <cell r="W157">
            <v>343</v>
          </cell>
          <cell r="Y157">
            <v>5414.1576037212617</v>
          </cell>
          <cell r="Z157">
            <v>38083.374128884978</v>
          </cell>
          <cell r="AA157">
            <v>25792.00285917526</v>
          </cell>
          <cell r="AB157">
            <v>2602.0646505592281</v>
          </cell>
          <cell r="AC157">
            <v>4130.3613736935949</v>
          </cell>
          <cell r="AD157">
            <v>14325.783486193164</v>
          </cell>
          <cell r="AE157">
            <v>90347.744102227487</v>
          </cell>
          <cell r="AG157">
            <v>88809.385240647403</v>
          </cell>
          <cell r="AH157">
            <v>1538.3588615800836</v>
          </cell>
          <cell r="AI157">
            <v>1.7027086584911821E-2</v>
          </cell>
        </row>
        <row r="158">
          <cell r="E158">
            <v>2034</v>
          </cell>
          <cell r="F158" t="str">
            <v>Woodlands Primary (Valley Park) Community School</v>
          </cell>
          <cell r="G158">
            <v>0.36723163841807899</v>
          </cell>
          <cell r="H158">
            <v>0.35028248587570598</v>
          </cell>
          <cell r="I158">
            <v>0.22316384180790999</v>
          </cell>
          <cell r="J158">
            <v>2.8248587570621499E-3</v>
          </cell>
          <cell r="K158">
            <v>2.8248587570621499E-3</v>
          </cell>
          <cell r="L158">
            <v>5.6497175141242903E-3</v>
          </cell>
          <cell r="M158">
            <v>4.8022598870056499E-2</v>
          </cell>
          <cell r="N158">
            <v>1.0000000000000002</v>
          </cell>
          <cell r="P158">
            <v>129.99999999999997</v>
          </cell>
          <cell r="Q158">
            <v>123.99999999999991</v>
          </cell>
          <cell r="R158">
            <v>79.000000000000142</v>
          </cell>
          <cell r="S158">
            <v>1.0000000000000011</v>
          </cell>
          <cell r="T158">
            <v>1.0000000000000011</v>
          </cell>
          <cell r="U158">
            <v>1.9999999999999987</v>
          </cell>
          <cell r="V158">
            <v>17</v>
          </cell>
          <cell r="W158">
            <v>354</v>
          </cell>
          <cell r="Y158">
            <v>63798.952308891356</v>
          </cell>
          <cell r="Z158">
            <v>46619.511302651357</v>
          </cell>
          <cell r="AA158">
            <v>27830.517722321092</v>
          </cell>
          <cell r="AB158">
            <v>324.30980703034112</v>
          </cell>
          <cell r="AC158">
            <v>205.91597518997239</v>
          </cell>
          <cell r="AD158">
            <v>340.09565127572296</v>
          </cell>
          <cell r="AE158">
            <v>139119.30276735983</v>
          </cell>
          <cell r="AG158">
            <v>149001.76848779214</v>
          </cell>
          <cell r="AH158">
            <v>-9882.4657204323157</v>
          </cell>
          <cell r="AI158">
            <v>-7.1035906045030434E-2</v>
          </cell>
        </row>
        <row r="159">
          <cell r="E159">
            <v>2324</v>
          </cell>
          <cell r="F159" t="str">
            <v>Woodseats Primary School</v>
          </cell>
          <cell r="G159">
            <v>2.4E-2</v>
          </cell>
          <cell r="H159">
            <v>0.17599999999999999</v>
          </cell>
          <cell r="I159">
            <v>7.1999999999999995E-2</v>
          </cell>
          <cell r="J159">
            <v>1.8666666666666699E-2</v>
          </cell>
          <cell r="K159">
            <v>4.5333333333333302E-2</v>
          </cell>
          <cell r="L159">
            <v>0.114666666666667</v>
          </cell>
          <cell r="M159">
            <v>0.54933333333333301</v>
          </cell>
          <cell r="N159">
            <v>1</v>
          </cell>
          <cell r="P159">
            <v>9</v>
          </cell>
          <cell r="Q159">
            <v>66</v>
          </cell>
          <cell r="R159">
            <v>26.999999999999996</v>
          </cell>
          <cell r="S159">
            <v>7.0000000000000124</v>
          </cell>
          <cell r="T159">
            <v>16.999999999999989</v>
          </cell>
          <cell r="U159">
            <v>43.000000000000128</v>
          </cell>
          <cell r="V159">
            <v>205.99999999999989</v>
          </cell>
          <cell r="W159">
            <v>375</v>
          </cell>
          <cell r="Y159">
            <v>4416.8505444617103</v>
          </cell>
          <cell r="Z159">
            <v>24813.610854637031</v>
          </cell>
          <cell r="AA159">
            <v>9511.6959304135198</v>
          </cell>
          <cell r="AB159">
            <v>2270.1686492123895</v>
          </cell>
          <cell r="AC159">
            <v>3500.5715782295247</v>
          </cell>
          <cell r="AD159">
            <v>7312.0565024280704</v>
          </cell>
          <cell r="AE159">
            <v>51824.954059382253</v>
          </cell>
          <cell r="AG159">
            <v>44866.81853089451</v>
          </cell>
          <cell r="AH159">
            <v>6958.1355284877427</v>
          </cell>
          <cell r="AI159">
            <v>0.13426226139081468</v>
          </cell>
        </row>
        <row r="160">
          <cell r="E160">
            <v>2327</v>
          </cell>
          <cell r="F160" t="str">
            <v>Woodthorpe Primary School</v>
          </cell>
          <cell r="G160">
            <v>0.48737373737373701</v>
          </cell>
          <cell r="H160">
            <v>0.18181818181818199</v>
          </cell>
          <cell r="I160">
            <v>7.5757575757575803E-3</v>
          </cell>
          <cell r="J160">
            <v>0.23989898989899</v>
          </cell>
          <cell r="K160">
            <v>3.2828282828282797E-2</v>
          </cell>
          <cell r="L160">
            <v>3.03030303030303E-2</v>
          </cell>
          <cell r="M160">
            <v>2.02020202020202E-2</v>
          </cell>
          <cell r="N160">
            <v>0.99999999999999978</v>
          </cell>
          <cell r="P160">
            <v>192.99999999999986</v>
          </cell>
          <cell r="Q160">
            <v>72.000000000000071</v>
          </cell>
          <cell r="R160">
            <v>3.0000000000000018</v>
          </cell>
          <cell r="S160">
            <v>95.000000000000043</v>
          </cell>
          <cell r="T160">
            <v>12.999999999999988</v>
          </cell>
          <cell r="U160">
            <v>11.999999999999998</v>
          </cell>
          <cell r="V160">
            <v>7.9999999999999991</v>
          </cell>
          <cell r="W160">
            <v>396</v>
          </cell>
          <cell r="Y160">
            <v>94716.906120123269</v>
          </cell>
          <cell r="Z160">
            <v>27069.393659604058</v>
          </cell>
          <cell r="AA160">
            <v>1056.8551033792808</v>
          </cell>
          <cell r="AB160">
            <v>30809.431667882389</v>
          </cell>
          <cell r="AC160">
            <v>2676.9076774696355</v>
          </cell>
          <cell r="AD160">
            <v>2040.5739076543389</v>
          </cell>
          <cell r="AE160">
            <v>158370.06813611294</v>
          </cell>
          <cell r="AG160">
            <v>158623.26861749959</v>
          </cell>
          <cell r="AH160">
            <v>-253.20048138665152</v>
          </cell>
          <cell r="AI160">
            <v>-1.5987900009554552E-3</v>
          </cell>
        </row>
        <row r="161">
          <cell r="E161">
            <v>2321</v>
          </cell>
          <cell r="F161" t="str">
            <v>Wybourn Community Primary &amp; Nursery School</v>
          </cell>
          <cell r="G161">
            <v>0.31961259079903098</v>
          </cell>
          <cell r="H161">
            <v>0.58595641646489105</v>
          </cell>
          <cell r="I161">
            <v>2.6634382566585998E-2</v>
          </cell>
          <cell r="J161">
            <v>1.4527845036319599E-2</v>
          </cell>
          <cell r="K161">
            <v>2.6634382566585998E-2</v>
          </cell>
          <cell r="L161">
            <v>4.8426150121065404E-3</v>
          </cell>
          <cell r="M161">
            <v>2.17917675544794E-2</v>
          </cell>
          <cell r="N161">
            <v>0.99999999999999967</v>
          </cell>
          <cell r="P161">
            <v>131.9999999999998</v>
          </cell>
          <cell r="Q161">
            <v>242</v>
          </cell>
          <cell r="R161">
            <v>11.000000000000018</v>
          </cell>
          <cell r="S161">
            <v>5.9999999999999947</v>
          </cell>
          <cell r="T161">
            <v>11.000000000000018</v>
          </cell>
          <cell r="U161">
            <v>2.0000000000000013</v>
          </cell>
          <cell r="V161">
            <v>8.9999999999999929</v>
          </cell>
          <cell r="W161">
            <v>413</v>
          </cell>
          <cell r="Y161">
            <v>64780.474652104989</v>
          </cell>
          <cell r="Z161">
            <v>90983.239800335781</v>
          </cell>
          <cell r="AA161">
            <v>3875.1353790573667</v>
          </cell>
          <cell r="AB161">
            <v>1945.858842182043</v>
          </cell>
          <cell r="AC161">
            <v>2265.0757270896975</v>
          </cell>
          <cell r="AD161">
            <v>340.09565127572341</v>
          </cell>
          <cell r="AE161">
            <v>164189.88005204557</v>
          </cell>
          <cell r="AG161">
            <v>160123.72764094267</v>
          </cell>
          <cell r="AH161">
            <v>4066.1524111028994</v>
          </cell>
          <cell r="AI161">
            <v>2.4764939287451784E-2</v>
          </cell>
        </row>
        <row r="162">
          <cell r="E162">
            <v>4014</v>
          </cell>
          <cell r="F162" t="str">
            <v>Astrea Academy - Woodside x 7/12</v>
          </cell>
          <cell r="G162">
            <v>2.51572327044025E-2</v>
          </cell>
          <cell r="H162">
            <v>0.25157232704402499</v>
          </cell>
          <cell r="I162">
            <v>0.41509433962264197</v>
          </cell>
          <cell r="J162">
            <v>2.51572327044025E-2</v>
          </cell>
          <cell r="K162">
            <v>0.182389937106918</v>
          </cell>
          <cell r="L162">
            <v>0</v>
          </cell>
          <cell r="M162">
            <v>0.10062893081761</v>
          </cell>
          <cell r="N162">
            <v>1</v>
          </cell>
          <cell r="P162">
            <v>4.9308176100628902</v>
          </cell>
          <cell r="Q162">
            <v>49.308176100628899</v>
          </cell>
          <cell r="R162">
            <v>81.35849056603783</v>
          </cell>
          <cell r="S162">
            <v>4.9308176100628902</v>
          </cell>
          <cell r="T162">
            <v>35.748427672955927</v>
          </cell>
          <cell r="U162">
            <v>0</v>
          </cell>
          <cell r="V162">
            <v>19.723270440251561</v>
          </cell>
          <cell r="W162">
            <v>196</v>
          </cell>
          <cell r="Y162">
            <v>2419.8538272941851</v>
          </cell>
          <cell r="Z162">
            <v>18538.089298680596</v>
          </cell>
          <cell r="AA162">
            <v>28661.378652650699</v>
          </cell>
          <cell r="AB162">
            <v>1599.112507621302</v>
          </cell>
          <cell r="AC162">
            <v>7361.1723457849066</v>
          </cell>
          <cell r="AD162">
            <v>0</v>
          </cell>
          <cell r="AE162">
            <v>58579.60663203169</v>
          </cell>
          <cell r="AG162">
            <v>41257.807432978523</v>
          </cell>
          <cell r="AH162">
            <v>17321.799199053166</v>
          </cell>
          <cell r="AI162">
            <v>0.29569674832165055</v>
          </cell>
        </row>
        <row r="163">
          <cell r="E163">
            <v>4225</v>
          </cell>
          <cell r="F163" t="str">
            <v>Hinde House 3-16 School</v>
          </cell>
          <cell r="G163">
            <v>0.16159250585480101</v>
          </cell>
          <cell r="H163">
            <v>0.50819672131147497</v>
          </cell>
          <cell r="I163">
            <v>0.227166276346604</v>
          </cell>
          <cell r="J163">
            <v>0</v>
          </cell>
          <cell r="K163">
            <v>9.3676814988290398E-3</v>
          </cell>
          <cell r="L163">
            <v>1.1709601873536301E-2</v>
          </cell>
          <cell r="M163">
            <v>8.1967213114754106E-2</v>
          </cell>
          <cell r="N163">
            <v>0.99999999999999944</v>
          </cell>
          <cell r="P163">
            <v>69.000000000000028</v>
          </cell>
          <cell r="Q163">
            <v>216.9999999999998</v>
          </cell>
          <cell r="R163">
            <v>96.999999999999901</v>
          </cell>
          <cell r="S163">
            <v>0</v>
          </cell>
          <cell r="T163">
            <v>4</v>
          </cell>
          <cell r="U163">
            <v>5</v>
          </cell>
          <cell r="V163">
            <v>35</v>
          </cell>
          <cell r="W163">
            <v>427</v>
          </cell>
          <cell r="Y163">
            <v>33862.520840873127</v>
          </cell>
          <cell r="Z163">
            <v>81584.144779639857</v>
          </cell>
          <cell r="AA163">
            <v>34171.648342596687</v>
          </cell>
          <cell r="AB163">
            <v>0</v>
          </cell>
          <cell r="AC163">
            <v>823.66390075988863</v>
          </cell>
          <cell r="AD163">
            <v>850.23912818930796</v>
          </cell>
          <cell r="AE163">
            <v>151292.21699205888</v>
          </cell>
          <cell r="AG163">
            <v>146971.50821122597</v>
          </cell>
          <cell r="AH163">
            <v>4320.7087808329088</v>
          </cell>
          <cell r="AI163">
            <v>2.855869830408855E-2</v>
          </cell>
        </row>
        <row r="164">
          <cell r="E164">
            <v>4005</v>
          </cell>
          <cell r="F164" t="str">
            <v>Oasis Academy Don Valley</v>
          </cell>
          <cell r="G164">
            <v>2.8571428571428598E-2</v>
          </cell>
          <cell r="H164">
            <v>0.63333333333333297</v>
          </cell>
          <cell r="I164">
            <v>4.2857142857142899E-2</v>
          </cell>
          <cell r="J164">
            <v>0.21190476190476201</v>
          </cell>
          <cell r="K164">
            <v>4.7619047619047603E-2</v>
          </cell>
          <cell r="L164">
            <v>4.7619047619047597E-3</v>
          </cell>
          <cell r="M164">
            <v>3.0952380952380999E-2</v>
          </cell>
          <cell r="N164">
            <v>0.99999999999999978</v>
          </cell>
          <cell r="P164">
            <v>11.950000000000012</v>
          </cell>
          <cell r="Q164">
            <v>264.89166666666654</v>
          </cell>
          <cell r="R164">
            <v>17.925000000000018</v>
          </cell>
          <cell r="S164">
            <v>88.629166666666706</v>
          </cell>
          <cell r="T164">
            <v>19.916666666666661</v>
          </cell>
          <cell r="U164">
            <v>1.9916666666666658</v>
          </cell>
          <cell r="V164">
            <v>12.945833333333352</v>
          </cell>
          <cell r="W164">
            <v>418.25</v>
          </cell>
          <cell r="Y164">
            <v>5864.596000701943</v>
          </cell>
          <cell r="Z164">
            <v>99589.677807619548</v>
          </cell>
          <cell r="AA164">
            <v>6314.709242691205</v>
          </cell>
          <cell r="AB164">
            <v>28743.307938926591</v>
          </cell>
          <cell r="AC164">
            <v>4101.1598392002779</v>
          </cell>
          <cell r="AD164">
            <v>338.6785860620742</v>
          </cell>
          <cell r="AE164">
            <v>144952.12941520163</v>
          </cell>
          <cell r="AG164">
            <v>138029.37532791021</v>
          </cell>
          <cell r="AH164">
            <v>6922.7540872914251</v>
          </cell>
          <cell r="AI164">
            <v>4.7758898853164498E-2</v>
          </cell>
        </row>
        <row r="166">
          <cell r="F166" t="str">
            <v>Total Primary</v>
          </cell>
          <cell r="P166">
            <v>3509.0766925141402</v>
          </cell>
          <cell r="Q166">
            <v>8254.7601783635982</v>
          </cell>
          <cell r="R166">
            <v>4587.1410830925051</v>
          </cell>
          <cell r="S166">
            <v>2426.8210955025074</v>
          </cell>
          <cell r="T166">
            <v>3624.4845291372894</v>
          </cell>
          <cell r="U166">
            <v>2917.0798396145888</v>
          </cell>
          <cell r="V166">
            <v>18788.886581775376</v>
          </cell>
          <cell r="W166">
            <v>44108.25</v>
          </cell>
          <cell r="X166">
            <v>0</v>
          </cell>
          <cell r="Y166">
            <v>1722118.5888765522</v>
          </cell>
          <cell r="Z166">
            <v>3103491.0115798241</v>
          </cell>
          <cell r="AA166">
            <v>1615981.1545290251</v>
          </cell>
          <cell r="AB166">
            <v>787041.88117957837</v>
          </cell>
          <cell r="AC166">
            <v>746339.26637827256</v>
          </cell>
          <cell r="AD166">
            <v>496043.08393850265</v>
          </cell>
          <cell r="AE166">
            <v>8471014.986481756</v>
          </cell>
          <cell r="AG166">
            <v>8329789.3170226943</v>
          </cell>
          <cell r="AH166">
            <v>141225.66945906181</v>
          </cell>
          <cell r="AI166">
            <v>1.6671634943915582E-2</v>
          </cell>
        </row>
        <row r="167">
          <cell r="G167">
            <v>42</v>
          </cell>
          <cell r="H167">
            <v>41</v>
          </cell>
          <cell r="I167">
            <v>40</v>
          </cell>
          <cell r="J167">
            <v>39</v>
          </cell>
          <cell r="K167">
            <v>38</v>
          </cell>
          <cell r="L167">
            <v>37</v>
          </cell>
          <cell r="M167">
            <v>36</v>
          </cell>
          <cell r="AE167">
            <v>0</v>
          </cell>
        </row>
        <row r="168">
          <cell r="F168" t="str">
            <v>Secondary</v>
          </cell>
        </row>
        <row r="169">
          <cell r="E169">
            <v>4</v>
          </cell>
          <cell r="F169">
            <v>5</v>
          </cell>
          <cell r="G169">
            <v>6</v>
          </cell>
          <cell r="H169">
            <v>7</v>
          </cell>
          <cell r="I169">
            <v>8</v>
          </cell>
          <cell r="J169">
            <v>9</v>
          </cell>
          <cell r="K169">
            <v>10</v>
          </cell>
          <cell r="L169">
            <v>11</v>
          </cell>
          <cell r="M169">
            <v>12</v>
          </cell>
          <cell r="N169">
            <v>13</v>
          </cell>
          <cell r="O169">
            <v>14</v>
          </cell>
          <cell r="P169">
            <v>15</v>
          </cell>
          <cell r="Q169">
            <v>16</v>
          </cell>
          <cell r="R169">
            <v>17</v>
          </cell>
          <cell r="S169">
            <v>18</v>
          </cell>
          <cell r="T169">
            <v>19</v>
          </cell>
          <cell r="U169">
            <v>20</v>
          </cell>
          <cell r="V169">
            <v>21</v>
          </cell>
          <cell r="W169">
            <v>22</v>
          </cell>
          <cell r="X169">
            <v>23</v>
          </cell>
          <cell r="Y169">
            <v>24</v>
          </cell>
          <cell r="Z169">
            <v>25</v>
          </cell>
          <cell r="AA169">
            <v>26</v>
          </cell>
          <cell r="AB169">
            <v>27</v>
          </cell>
          <cell r="AC169">
            <v>28</v>
          </cell>
          <cell r="AD169">
            <v>29</v>
          </cell>
          <cell r="AE169">
            <v>30</v>
          </cell>
        </row>
        <row r="170">
          <cell r="E170">
            <v>5401</v>
          </cell>
          <cell r="F170" t="str">
            <v>All Saints' Catholic High School</v>
          </cell>
          <cell r="G170">
            <v>0.11045943304007801</v>
          </cell>
          <cell r="H170">
            <v>0.257086999022483</v>
          </cell>
          <cell r="I170">
            <v>0.109481915933529</v>
          </cell>
          <cell r="J170">
            <v>8.0156402737047897E-2</v>
          </cell>
          <cell r="K170">
            <v>7.1358748778103595E-2</v>
          </cell>
          <cell r="L170">
            <v>5.3763440860215103E-2</v>
          </cell>
          <cell r="M170">
            <v>0.317693059628543</v>
          </cell>
          <cell r="N170">
            <v>0.99999999999999956</v>
          </cell>
          <cell r="P170">
            <v>112.9999999999998</v>
          </cell>
          <cell r="Q170">
            <v>263.00000000000011</v>
          </cell>
          <cell r="R170">
            <v>112.00000000000017</v>
          </cell>
          <cell r="S170">
            <v>82</v>
          </cell>
          <cell r="T170">
            <v>72.999999999999972</v>
          </cell>
          <cell r="U170">
            <v>55.00000000000005</v>
          </cell>
          <cell r="V170">
            <v>324.99999999999949</v>
          </cell>
          <cell r="W170">
            <v>1023</v>
          </cell>
          <cell r="Y170">
            <v>81582.205625477</v>
          </cell>
          <cell r="Z170">
            <v>149273.98591294017</v>
          </cell>
          <cell r="AA170">
            <v>58906.477108124971</v>
          </cell>
          <cell r="AB170">
            <v>39685.513878435653</v>
          </cell>
          <cell r="AC170">
            <v>25275.327154062394</v>
          </cell>
          <cell r="AD170">
            <v>14234.673394182682</v>
          </cell>
          <cell r="AE170">
            <v>368958.18307322293</v>
          </cell>
          <cell r="AG170">
            <v>356508.51521381654</v>
          </cell>
          <cell r="AH170">
            <v>12449.667859406385</v>
          </cell>
          <cell r="AI170">
            <v>3.3742761186938197E-2</v>
          </cell>
        </row>
        <row r="171">
          <cell r="E171">
            <v>4017</v>
          </cell>
          <cell r="F171" t="str">
            <v>Bradfield School</v>
          </cell>
          <cell r="G171">
            <v>6.47548566142461E-3</v>
          </cell>
          <cell r="H171">
            <v>6.3829787234042507E-2</v>
          </cell>
          <cell r="I171">
            <v>2.5901942645698402E-2</v>
          </cell>
          <cell r="J171">
            <v>8.3256244218316393E-3</v>
          </cell>
          <cell r="K171">
            <v>2.4976873265494901E-2</v>
          </cell>
          <cell r="L171">
            <v>8.14061054579093E-2</v>
          </cell>
          <cell r="M171">
            <v>0.78908418131359803</v>
          </cell>
          <cell r="N171">
            <v>0.99999999999999933</v>
          </cell>
          <cell r="P171">
            <v>7.0000000000000036</v>
          </cell>
          <cell r="Q171">
            <v>68.999999999999943</v>
          </cell>
          <cell r="R171">
            <v>27.999999999999972</v>
          </cell>
          <cell r="S171">
            <v>9.0000000000000018</v>
          </cell>
          <cell r="T171">
            <v>26.999999999999986</v>
          </cell>
          <cell r="U171">
            <v>87.999999999999957</v>
          </cell>
          <cell r="V171">
            <v>852.99999999999943</v>
          </cell>
          <cell r="W171">
            <v>1081</v>
          </cell>
          <cell r="Y171">
            <v>5053.7649502507993</v>
          </cell>
          <cell r="Z171">
            <v>39163.136988566002</v>
          </cell>
          <cell r="AA171">
            <v>14726.619277031206</v>
          </cell>
          <cell r="AB171">
            <v>4355.7271329990353</v>
          </cell>
          <cell r="AC171">
            <v>9348.4086734203356</v>
          </cell>
          <cell r="AD171">
            <v>22775.477430692263</v>
          </cell>
          <cell r="AE171">
            <v>95423.134452959639</v>
          </cell>
          <cell r="AG171">
            <v>77287.041112585808</v>
          </cell>
          <cell r="AH171">
            <v>18136.093340373831</v>
          </cell>
          <cell r="AI171">
            <v>0.19005971082740222</v>
          </cell>
        </row>
        <row r="172">
          <cell r="E172">
            <v>4000</v>
          </cell>
          <cell r="F172" t="str">
            <v>Chaucer School</v>
          </cell>
          <cell r="G172">
            <v>0.35609756097561002</v>
          </cell>
          <cell r="H172">
            <v>0.41707317073170702</v>
          </cell>
          <cell r="I172">
            <v>0.120731707317073</v>
          </cell>
          <cell r="J172">
            <v>2.4390243902438998E-3</v>
          </cell>
          <cell r="K172">
            <v>2.6829268292682899E-2</v>
          </cell>
          <cell r="L172">
            <v>2.19512195121951E-2</v>
          </cell>
          <cell r="M172">
            <v>5.4878048780487798E-2</v>
          </cell>
          <cell r="N172">
            <v>1</v>
          </cell>
          <cell r="P172">
            <v>292.00000000000023</v>
          </cell>
          <cell r="Q172">
            <v>341.99999999999977</v>
          </cell>
          <cell r="R172">
            <v>98.999999999999858</v>
          </cell>
          <cell r="S172">
            <v>1.9999999999999978</v>
          </cell>
          <cell r="T172">
            <v>21.999999999999975</v>
          </cell>
          <cell r="U172">
            <v>17.999999999999982</v>
          </cell>
          <cell r="V172">
            <v>44.999999999999993</v>
          </cell>
          <cell r="W172">
            <v>820</v>
          </cell>
          <cell r="Y172">
            <v>210814.19506760483</v>
          </cell>
          <cell r="Z172">
            <v>194112.93985637065</v>
          </cell>
          <cell r="AA172">
            <v>52069.118158074598</v>
          </cell>
          <cell r="AB172">
            <v>967.93936288867337</v>
          </cell>
          <cell r="AC172">
            <v>7617.2218820461949</v>
          </cell>
          <cell r="AD172">
            <v>4658.6203835506876</v>
          </cell>
          <cell r="AE172">
            <v>470240.03471053566</v>
          </cell>
          <cell r="AG172">
            <v>488039.98889507668</v>
          </cell>
          <cell r="AH172">
            <v>-17799.954184541013</v>
          </cell>
          <cell r="AI172">
            <v>-3.7852911004266326E-2</v>
          </cell>
        </row>
        <row r="173">
          <cell r="E173">
            <v>4012</v>
          </cell>
          <cell r="F173" t="str">
            <v>Ecclesfield School</v>
          </cell>
          <cell r="G173">
            <v>5.6682577565632497E-2</v>
          </cell>
          <cell r="H173">
            <v>0.20883054892601399</v>
          </cell>
          <cell r="I173">
            <v>4.2362768496419997E-2</v>
          </cell>
          <cell r="J173">
            <v>2.9832935560859201E-3</v>
          </cell>
          <cell r="K173">
            <v>8.2338902147971404E-2</v>
          </cell>
          <cell r="L173">
            <v>4.0572792362768499E-2</v>
          </cell>
          <cell r="M173">
            <v>0.56622911694510702</v>
          </cell>
          <cell r="N173">
            <v>0.99999999999999933</v>
          </cell>
          <cell r="P173">
            <v>95.000000000000071</v>
          </cell>
          <cell r="Q173">
            <v>349.99999999999943</v>
          </cell>
          <cell r="R173">
            <v>70.999999999999915</v>
          </cell>
          <cell r="S173">
            <v>5.0000000000000018</v>
          </cell>
          <cell r="T173">
            <v>138.00000000000009</v>
          </cell>
          <cell r="U173">
            <v>68</v>
          </cell>
          <cell r="V173">
            <v>948.99999999999932</v>
          </cell>
          <cell r="W173">
            <v>1676</v>
          </cell>
          <cell r="Y173">
            <v>68586.810039118005</v>
          </cell>
          <cell r="Z173">
            <v>198653.59342026216</v>
          </cell>
          <cell r="AA173">
            <v>37342.498881043408</v>
          </cell>
          <cell r="AB173">
            <v>2419.848407221687</v>
          </cell>
          <cell r="AC173">
            <v>47780.755441926216</v>
          </cell>
          <cell r="AD173">
            <v>17599.232560080392</v>
          </cell>
          <cell r="AE173">
            <v>372382.73874965188</v>
          </cell>
          <cell r="AG173">
            <v>367636.20909071667</v>
          </cell>
          <cell r="AH173">
            <v>4746.5296589352074</v>
          </cell>
          <cell r="AI173">
            <v>1.2746373999161755E-2</v>
          </cell>
        </row>
        <row r="174">
          <cell r="E174">
            <v>4280</v>
          </cell>
          <cell r="F174" t="str">
            <v>Fir Vale School</v>
          </cell>
          <cell r="G174">
            <v>3.9634146341463401E-2</v>
          </cell>
          <cell r="H174">
            <v>7.7235772357723595E-2</v>
          </cell>
          <cell r="I174">
            <v>0.56402439024390205</v>
          </cell>
          <cell r="J174">
            <v>5.1829268292682897E-2</v>
          </cell>
          <cell r="K174">
            <v>0.14939024390243899</v>
          </cell>
          <cell r="L174">
            <v>9.7560975609756101E-2</v>
          </cell>
          <cell r="M174">
            <v>2.0325203252032499E-2</v>
          </cell>
          <cell r="N174">
            <v>0.99999999999999944</v>
          </cell>
          <cell r="P174">
            <v>39.079268292682912</v>
          </cell>
          <cell r="Q174">
            <v>76.154471544715463</v>
          </cell>
          <cell r="R174">
            <v>556.12804878048746</v>
          </cell>
          <cell r="S174">
            <v>51.103658536585336</v>
          </cell>
          <cell r="T174">
            <v>147.29878048780483</v>
          </cell>
          <cell r="U174">
            <v>96.195121951219519</v>
          </cell>
          <cell r="V174">
            <v>20.040650406504046</v>
          </cell>
          <cell r="W174">
            <v>986</v>
          </cell>
          <cell r="Y174">
            <v>28213.919482715457</v>
          </cell>
          <cell r="Z174">
            <v>43223.884078225296</v>
          </cell>
          <cell r="AA174">
            <v>292495.93013101735</v>
          </cell>
          <cell r="AB174">
            <v>24732.621342591388</v>
          </cell>
          <cell r="AC174">
            <v>51000.340633201246</v>
          </cell>
          <cell r="AD174">
            <v>24896.475328894216</v>
          </cell>
          <cell r="AE174">
            <v>464563.17099664494</v>
          </cell>
          <cell r="AG174">
            <v>454201.79524509446</v>
          </cell>
          <cell r="AH174">
            <v>10361.375751550484</v>
          </cell>
          <cell r="AI174">
            <v>2.2303480771671661E-2</v>
          </cell>
        </row>
        <row r="175">
          <cell r="E175">
            <v>4003</v>
          </cell>
          <cell r="F175" t="str">
            <v>Firth Park Academy</v>
          </cell>
          <cell r="G175">
            <v>0.165499124343257</v>
          </cell>
          <cell r="H175">
            <v>0.50175131348511404</v>
          </cell>
          <cell r="I175">
            <v>0.230297723292469</v>
          </cell>
          <cell r="J175">
            <v>1.40105078809107E-2</v>
          </cell>
          <cell r="K175">
            <v>3.41506129597198E-2</v>
          </cell>
          <cell r="L175">
            <v>1.92644483362522E-2</v>
          </cell>
          <cell r="M175">
            <v>3.5026269702276701E-2</v>
          </cell>
          <cell r="N175">
            <v>0.99999999999999944</v>
          </cell>
          <cell r="P175">
            <v>188.99999999999949</v>
          </cell>
          <cell r="Q175">
            <v>573.00000000000023</v>
          </cell>
          <cell r="R175">
            <v>262.9999999999996</v>
          </cell>
          <cell r="S175">
            <v>16.000000000000021</v>
          </cell>
          <cell r="T175">
            <v>39.000000000000014</v>
          </cell>
          <cell r="U175">
            <v>22.000000000000011</v>
          </cell>
          <cell r="V175">
            <v>39.999999999999993</v>
          </cell>
          <cell r="W175">
            <v>1142</v>
          </cell>
          <cell r="Y175">
            <v>136451.65365677114</v>
          </cell>
          <cell r="Z175">
            <v>325224.31151374412</v>
          </cell>
          <cell r="AA175">
            <v>138325.03106640017</v>
          </cell>
          <cell r="AB175">
            <v>7743.5149031094052</v>
          </cell>
          <cell r="AC175">
            <v>13503.256972718274</v>
          </cell>
          <cell r="AD175">
            <v>5693.8693576730711</v>
          </cell>
          <cell r="AE175">
            <v>626941.63747041626</v>
          </cell>
          <cell r="AG175">
            <v>619333.65629599045</v>
          </cell>
          <cell r="AH175">
            <v>7607.9811744258041</v>
          </cell>
          <cell r="AI175">
            <v>1.2135070825926448E-2</v>
          </cell>
        </row>
        <row r="176">
          <cell r="E176">
            <v>4007</v>
          </cell>
          <cell r="F176" t="str">
            <v>Forge Valley School</v>
          </cell>
          <cell r="G176">
            <v>2.23140495867769E-2</v>
          </cell>
          <cell r="H176">
            <v>6.1983471074380202E-2</v>
          </cell>
          <cell r="I176">
            <v>6.2809917355371905E-2</v>
          </cell>
          <cell r="J176">
            <v>9.0909090909090905E-3</v>
          </cell>
          <cell r="K176">
            <v>0.129752066115702</v>
          </cell>
          <cell r="L176">
            <v>7.6859504132231402E-2</v>
          </cell>
          <cell r="M176">
            <v>0.63719008264462795</v>
          </cell>
          <cell r="N176">
            <v>0.99999999999999944</v>
          </cell>
          <cell r="P176">
            <v>27.00000000000005</v>
          </cell>
          <cell r="Q176">
            <v>75.000000000000043</v>
          </cell>
          <cell r="R176">
            <v>76</v>
          </cell>
          <cell r="S176">
            <v>11</v>
          </cell>
          <cell r="T176">
            <v>156.99999999999943</v>
          </cell>
          <cell r="U176">
            <v>93</v>
          </cell>
          <cell r="V176">
            <v>770.99999999999977</v>
          </cell>
          <cell r="W176">
            <v>1210</v>
          </cell>
          <cell r="Y176">
            <v>19493.093379538823</v>
          </cell>
          <cell r="Z176">
            <v>42568.627161484845</v>
          </cell>
          <cell r="AA176">
            <v>39972.252323370456</v>
          </cell>
          <cell r="AB176">
            <v>5323.6664958877091</v>
          </cell>
          <cell r="AC176">
            <v>54359.265249147713</v>
          </cell>
          <cell r="AD176">
            <v>24069.538648345242</v>
          </cell>
          <cell r="AE176">
            <v>185786.44325777478</v>
          </cell>
          <cell r="AG176">
            <v>181384.69028008945</v>
          </cell>
          <cell r="AH176">
            <v>4401.7529776853335</v>
          </cell>
          <cell r="AI176">
            <v>2.369254128826824E-2</v>
          </cell>
        </row>
        <row r="177">
          <cell r="E177">
            <v>4278</v>
          </cell>
          <cell r="F177" t="str">
            <v>Handsworth Grange Community Sports College</v>
          </cell>
          <cell r="G177">
            <v>1.47783251231527E-2</v>
          </cell>
          <cell r="H177">
            <v>0.12807881773398999</v>
          </cell>
          <cell r="I177">
            <v>0.153694581280788</v>
          </cell>
          <cell r="J177">
            <v>7.5862068965517199E-2</v>
          </cell>
          <cell r="K177">
            <v>9.0640394088669904E-2</v>
          </cell>
          <cell r="L177">
            <v>0.120197044334975</v>
          </cell>
          <cell r="M177">
            <v>0.41674876847290598</v>
          </cell>
          <cell r="N177">
            <v>0.99999999999999878</v>
          </cell>
          <cell r="P177">
            <v>14.999999999999991</v>
          </cell>
          <cell r="Q177">
            <v>129.99999999999983</v>
          </cell>
          <cell r="R177">
            <v>155.99999999999983</v>
          </cell>
          <cell r="S177">
            <v>76.999999999999957</v>
          </cell>
          <cell r="T177">
            <v>91.999999999999957</v>
          </cell>
          <cell r="U177">
            <v>121.99999999999962</v>
          </cell>
          <cell r="V177">
            <v>422.99999999999955</v>
          </cell>
          <cell r="W177">
            <v>1015</v>
          </cell>
          <cell r="Y177">
            <v>10829.496321965988</v>
          </cell>
          <cell r="Z177">
            <v>73785.620413240249</v>
          </cell>
          <cell r="AA177">
            <v>82048.307400602425</v>
          </cell>
          <cell r="AB177">
            <v>37265.665471213943</v>
          </cell>
          <cell r="AC177">
            <v>31853.836961284109</v>
          </cell>
          <cell r="AD177">
            <v>31575.09371073237</v>
          </cell>
          <cell r="AE177">
            <v>267358.02027903905</v>
          </cell>
          <cell r="AG177">
            <v>286130.15655612288</v>
          </cell>
          <cell r="AH177">
            <v>-18772.136277083831</v>
          </cell>
          <cell r="AI177">
            <v>-7.0213477259786439E-2</v>
          </cell>
        </row>
        <row r="178">
          <cell r="E178">
            <v>4257</v>
          </cell>
          <cell r="F178" t="str">
            <v>High Storrs School</v>
          </cell>
          <cell r="G178">
            <v>8.2918739635157504E-4</v>
          </cell>
          <cell r="H178">
            <v>1.40961857379768E-2</v>
          </cell>
          <cell r="I178">
            <v>4.97512437810945E-3</v>
          </cell>
          <cell r="J178">
            <v>6.6334991708126003E-3</v>
          </cell>
          <cell r="K178">
            <v>1.1608623548922101E-2</v>
          </cell>
          <cell r="L178">
            <v>1.3266998341625201E-2</v>
          </cell>
          <cell r="M178">
            <v>0.948590381426202</v>
          </cell>
          <cell r="N178">
            <v>0.99999999999999978</v>
          </cell>
          <cell r="P178">
            <v>0.99999999999999956</v>
          </cell>
          <cell r="Q178">
            <v>17.000000000000021</v>
          </cell>
          <cell r="R178">
            <v>5.9999999999999964</v>
          </cell>
          <cell r="S178">
            <v>7.9999999999999964</v>
          </cell>
          <cell r="T178">
            <v>14.000000000000053</v>
          </cell>
          <cell r="U178">
            <v>15.999999999999993</v>
          </cell>
          <cell r="V178">
            <v>1143.9999999999995</v>
          </cell>
          <cell r="W178">
            <v>1206</v>
          </cell>
          <cell r="Y178">
            <v>721.96642146439922</v>
          </cell>
          <cell r="Z178">
            <v>9648.8888232699046</v>
          </cell>
          <cell r="AA178">
            <v>3155.7041307924023</v>
          </cell>
          <cell r="AB178">
            <v>3871.7574515546958</v>
          </cell>
          <cell r="AC178">
            <v>4847.3230158476026</v>
          </cell>
          <cell r="AD178">
            <v>4140.9958964895022</v>
          </cell>
          <cell r="AE178">
            <v>26386.635739418507</v>
          </cell>
          <cell r="AG178">
            <v>29377.275839346254</v>
          </cell>
          <cell r="AH178">
            <v>-2990.6400999277466</v>
          </cell>
          <cell r="AI178">
            <v>-0.11333919676088471</v>
          </cell>
        </row>
        <row r="179">
          <cell r="E179">
            <v>4230</v>
          </cell>
          <cell r="F179" t="str">
            <v>King Ecgbert School</v>
          </cell>
          <cell r="G179">
            <v>4.8355899419729202E-3</v>
          </cell>
          <cell r="H179">
            <v>3.9651837524177898E-2</v>
          </cell>
          <cell r="I179">
            <v>8.7040618955512607E-3</v>
          </cell>
          <cell r="J179">
            <v>1.3539651837524201E-2</v>
          </cell>
          <cell r="K179">
            <v>4.1586073500967102E-2</v>
          </cell>
          <cell r="L179">
            <v>5.7059961315280502E-2</v>
          </cell>
          <cell r="M179">
            <v>0.83462282398452603</v>
          </cell>
          <cell r="N179">
            <v>0.99999999999999989</v>
          </cell>
          <cell r="P179">
            <v>4.9999999999999991</v>
          </cell>
          <cell r="Q179">
            <v>40.999999999999943</v>
          </cell>
          <cell r="R179">
            <v>9.0000000000000036</v>
          </cell>
          <cell r="S179">
            <v>14.000000000000023</v>
          </cell>
          <cell r="T179">
            <v>42.999999999999986</v>
          </cell>
          <cell r="U179">
            <v>59.000000000000043</v>
          </cell>
          <cell r="V179">
            <v>862.99999999999989</v>
          </cell>
          <cell r="W179">
            <v>1034</v>
          </cell>
          <cell r="Y179">
            <v>3609.8321073219972</v>
          </cell>
          <cell r="Z179">
            <v>23270.849514945003</v>
          </cell>
          <cell r="AA179">
            <v>4733.5561961886087</v>
          </cell>
          <cell r="AB179">
            <v>6775.5755402207324</v>
          </cell>
          <cell r="AC179">
            <v>14888.206405817575</v>
          </cell>
          <cell r="AD179">
            <v>15269.922368305057</v>
          </cell>
          <cell r="AE179">
            <v>68547.942132798969</v>
          </cell>
          <cell r="AG179">
            <v>63059.665374619108</v>
          </cell>
          <cell r="AH179">
            <v>5488.2767581798616</v>
          </cell>
          <cell r="AI179">
            <v>8.0064792427281622E-2</v>
          </cell>
        </row>
        <row r="180">
          <cell r="E180">
            <v>4259</v>
          </cell>
          <cell r="F180" t="str">
            <v>King Edward VII School</v>
          </cell>
          <cell r="G180">
            <v>2.2907488986784099E-2</v>
          </cell>
          <cell r="H180">
            <v>0.106607929515419</v>
          </cell>
          <cell r="I180">
            <v>5.6387665198237902E-2</v>
          </cell>
          <cell r="J180">
            <v>6.3436123348017598E-2</v>
          </cell>
          <cell r="K180">
            <v>0.16563876651982401</v>
          </cell>
          <cell r="L180">
            <v>4.6696035242290698E-2</v>
          </cell>
          <cell r="M180">
            <v>0.53832599118942703</v>
          </cell>
          <cell r="N180">
            <v>1.0000000000000004</v>
          </cell>
          <cell r="P180">
            <v>25.999999999999954</v>
          </cell>
          <cell r="Q180">
            <v>121.00000000000057</v>
          </cell>
          <cell r="R180">
            <v>64.000000000000014</v>
          </cell>
          <cell r="S180">
            <v>71.999999999999972</v>
          </cell>
          <cell r="T180">
            <v>188.00000000000026</v>
          </cell>
          <cell r="U180">
            <v>52.999999999999943</v>
          </cell>
          <cell r="V180">
            <v>610.99999999999966</v>
          </cell>
          <cell r="W180">
            <v>1135</v>
          </cell>
          <cell r="Y180">
            <v>18771.126958074354</v>
          </cell>
          <cell r="Z180">
            <v>68677.385153862502</v>
          </cell>
          <cell r="AA180">
            <v>33660.844061785654</v>
          </cell>
          <cell r="AB180">
            <v>34845.817063992261</v>
          </cell>
          <cell r="AC180">
            <v>65092.623355667645</v>
          </cell>
          <cell r="AD180">
            <v>13717.048907121467</v>
          </cell>
          <cell r="AE180">
            <v>234764.8455005039</v>
          </cell>
          <cell r="AG180">
            <v>230312.28082213266</v>
          </cell>
          <cell r="AH180">
            <v>4452.5646783712436</v>
          </cell>
          <cell r="AI180">
            <v>1.8966062269155568E-2</v>
          </cell>
        </row>
        <row r="181">
          <cell r="E181">
            <v>4279</v>
          </cell>
          <cell r="F181" t="str">
            <v>Meadowhead School Academy Trust</v>
          </cell>
          <cell r="G181">
            <v>3.69913686806412E-2</v>
          </cell>
          <cell r="H181">
            <v>0.20160295930949401</v>
          </cell>
          <cell r="I181">
            <v>0.111590628853268</v>
          </cell>
          <cell r="J181">
            <v>4.1923551171393299E-2</v>
          </cell>
          <cell r="K181">
            <v>3.76078914919852E-2</v>
          </cell>
          <cell r="L181">
            <v>3.88409371146732E-2</v>
          </cell>
          <cell r="M181">
            <v>0.53144266337854495</v>
          </cell>
          <cell r="N181">
            <v>0.99999999999999978</v>
          </cell>
          <cell r="P181">
            <v>60.036991368680667</v>
          </cell>
          <cell r="Q181">
            <v>327.20160295930879</v>
          </cell>
          <cell r="R181">
            <v>181.11159062885395</v>
          </cell>
          <cell r="S181">
            <v>68.041923551171323</v>
          </cell>
          <cell r="T181">
            <v>61.03760789149198</v>
          </cell>
          <cell r="U181">
            <v>63.038840937114607</v>
          </cell>
          <cell r="V181">
            <v>862.53144266337847</v>
          </cell>
          <cell r="W181">
            <v>1623</v>
          </cell>
          <cell r="Y181">
            <v>43344.691813935424</v>
          </cell>
          <cell r="Z181">
            <v>185713.64057353337</v>
          </cell>
          <cell r="AA181">
            <v>95255.76578030955</v>
          </cell>
          <cell r="AB181">
            <v>32930.228065920332</v>
          </cell>
          <cell r="AC181">
            <v>21133.500111764944</v>
          </cell>
          <cell r="AD181">
            <v>16315.223852502884</v>
          </cell>
          <cell r="AE181">
            <v>394693.05019796651</v>
          </cell>
          <cell r="AG181">
            <v>361307.08763627644</v>
          </cell>
          <cell r="AH181">
            <v>33385.962561690074</v>
          </cell>
          <cell r="AI181">
            <v>8.4587155879599724E-2</v>
          </cell>
        </row>
        <row r="182">
          <cell r="E182">
            <v>4015</v>
          </cell>
          <cell r="F182" t="str">
            <v>Mercia School</v>
          </cell>
          <cell r="G182">
            <v>1.4729950900163701E-2</v>
          </cell>
          <cell r="H182">
            <v>5.2373158756137503E-2</v>
          </cell>
          <cell r="I182">
            <v>1.96399345335516E-2</v>
          </cell>
          <cell r="J182">
            <v>2.1276595744680899E-2</v>
          </cell>
          <cell r="K182">
            <v>5.0736497545008197E-2</v>
          </cell>
          <cell r="L182">
            <v>0.101472995090016</v>
          </cell>
          <cell r="M182">
            <v>0.73977086743044196</v>
          </cell>
          <cell r="N182">
            <v>0.99999999999999989</v>
          </cell>
          <cell r="P182">
            <v>10.546644844517211</v>
          </cell>
          <cell r="Q182">
            <v>37.499181669394453</v>
          </cell>
          <cell r="R182">
            <v>14.062193126022946</v>
          </cell>
          <cell r="S182">
            <v>15.234042553191523</v>
          </cell>
          <cell r="T182">
            <v>36.327332242225872</v>
          </cell>
          <cell r="U182">
            <v>72.654664484451459</v>
          </cell>
          <cell r="V182">
            <v>529.67594108019648</v>
          </cell>
          <cell r="W182">
            <v>716</v>
          </cell>
          <cell r="Y182">
            <v>7614.3234368520489</v>
          </cell>
          <cell r="Z182">
            <v>21283.849111269843</v>
          </cell>
          <cell r="AA182">
            <v>7396.0201559651941</v>
          </cell>
          <cell r="AB182">
            <v>7372.8147215775789</v>
          </cell>
          <cell r="AC182">
            <v>12577.87954872025</v>
          </cell>
          <cell r="AD182">
            <v>18803.916718183449</v>
          </cell>
          <cell r="AE182">
            <v>75048.803692568355</v>
          </cell>
          <cell r="AG182">
            <v>57133.024984005628</v>
          </cell>
          <cell r="AH182">
            <v>17915.778708562728</v>
          </cell>
          <cell r="AI182">
            <v>0.23872170943528076</v>
          </cell>
        </row>
        <row r="183">
          <cell r="E183">
            <v>4008</v>
          </cell>
          <cell r="F183" t="str">
            <v>Newfield Secondary School</v>
          </cell>
          <cell r="G183">
            <v>0.157945736434109</v>
          </cell>
          <cell r="H183">
            <v>0.13372093023255799</v>
          </cell>
          <cell r="I183">
            <v>0.10271317829457401</v>
          </cell>
          <cell r="J183">
            <v>9.0116279069767394E-2</v>
          </cell>
          <cell r="K183">
            <v>5.6201550387596902E-2</v>
          </cell>
          <cell r="L183">
            <v>5.5232558139534899E-2</v>
          </cell>
          <cell r="M183">
            <v>0.40406976744186002</v>
          </cell>
          <cell r="N183">
            <v>1.0000000000000002</v>
          </cell>
          <cell r="P183">
            <v>163.00000000000048</v>
          </cell>
          <cell r="Q183">
            <v>137.99999999999986</v>
          </cell>
          <cell r="R183">
            <v>106.00000000000037</v>
          </cell>
          <cell r="S183">
            <v>92.999999999999957</v>
          </cell>
          <cell r="T183">
            <v>58</v>
          </cell>
          <cell r="U183">
            <v>57.000000000000014</v>
          </cell>
          <cell r="V183">
            <v>416.99999999999955</v>
          </cell>
          <cell r="W183">
            <v>1032</v>
          </cell>
          <cell r="Y183">
            <v>117680.52669869747</v>
          </cell>
          <cell r="Z183">
            <v>78326.27397713199</v>
          </cell>
          <cell r="AA183">
            <v>55750.772977332672</v>
          </cell>
          <cell r="AB183">
            <v>45009.180374323339</v>
          </cell>
          <cell r="AC183">
            <v>20081.766779939993</v>
          </cell>
          <cell r="AD183">
            <v>14752.297881243861</v>
          </cell>
          <cell r="AE183">
            <v>331600.81868866936</v>
          </cell>
          <cell r="AG183">
            <v>337397.80023069418</v>
          </cell>
          <cell r="AH183">
            <v>-5796.9815420248196</v>
          </cell>
          <cell r="AI183">
            <v>-1.7481807086451865E-2</v>
          </cell>
        </row>
        <row r="184">
          <cell r="E184">
            <v>5400</v>
          </cell>
          <cell r="F184" t="str">
            <v>Notre Dame High School</v>
          </cell>
          <cell r="G184">
            <v>5.7330827067669198E-2</v>
          </cell>
          <cell r="H184">
            <v>0.12312030075188</v>
          </cell>
          <cell r="I184">
            <v>7.4248120300751896E-2</v>
          </cell>
          <cell r="J184">
            <v>2.9135338345864702E-2</v>
          </cell>
          <cell r="K184">
            <v>7.6127819548872197E-2</v>
          </cell>
          <cell r="L184">
            <v>4.6052631578947401E-2</v>
          </cell>
          <cell r="M184">
            <v>0.59398496240601495</v>
          </cell>
          <cell r="N184">
            <v>1.0000000000000004</v>
          </cell>
          <cell r="P184">
            <v>61.114661654135368</v>
          </cell>
          <cell r="Q184">
            <v>131.2462406015041</v>
          </cell>
          <cell r="R184">
            <v>79.148496240601517</v>
          </cell>
          <cell r="S184">
            <v>31.058270676691773</v>
          </cell>
          <cell r="T184">
            <v>81.15225563909776</v>
          </cell>
          <cell r="U184">
            <v>49.092105263157926</v>
          </cell>
          <cell r="V184">
            <v>633.18796992481191</v>
          </cell>
          <cell r="W184">
            <v>1066</v>
          </cell>
          <cell r="Y184">
            <v>44122.733573443671</v>
          </cell>
          <cell r="Z184">
            <v>74492.963766826113</v>
          </cell>
          <cell r="AA184">
            <v>41628.206088745552</v>
          </cell>
          <cell r="AB184">
            <v>15031.261365610517</v>
          </cell>
          <cell r="AC184">
            <v>28097.942610524678</v>
          </cell>
          <cell r="AD184">
            <v>12705.637902797986</v>
          </cell>
          <cell r="AE184">
            <v>216078.74530794853</v>
          </cell>
          <cell r="AG184">
            <v>202559.91783915387</v>
          </cell>
          <cell r="AH184">
            <v>13518.827468794654</v>
          </cell>
          <cell r="AI184">
            <v>6.2564355645105457E-2</v>
          </cell>
        </row>
        <row r="185">
          <cell r="E185">
            <v>4006</v>
          </cell>
          <cell r="F185" t="str">
            <v>Outwood Academy City</v>
          </cell>
          <cell r="G185">
            <v>0.154255319148936</v>
          </cell>
          <cell r="H185">
            <v>0.16400709219858201</v>
          </cell>
          <cell r="I185">
            <v>8.5106382978723402E-2</v>
          </cell>
          <cell r="J185">
            <v>0.13209219858155999</v>
          </cell>
          <cell r="K185">
            <v>9.4858156028368806E-2</v>
          </cell>
          <cell r="L185">
            <v>0.184397163120567</v>
          </cell>
          <cell r="M185">
            <v>0.185283687943262</v>
          </cell>
          <cell r="N185">
            <v>0.99999999999999911</v>
          </cell>
          <cell r="P185">
            <v>173.9999999999998</v>
          </cell>
          <cell r="Q185">
            <v>185.00000000000051</v>
          </cell>
          <cell r="R185">
            <v>96</v>
          </cell>
          <cell r="S185">
            <v>148.99999999999966</v>
          </cell>
          <cell r="T185">
            <v>107.00000000000001</v>
          </cell>
          <cell r="U185">
            <v>207.99999999999957</v>
          </cell>
          <cell r="V185">
            <v>208.99999999999955</v>
          </cell>
          <cell r="W185">
            <v>1128</v>
          </cell>
          <cell r="Y185">
            <v>125622.15733480538</v>
          </cell>
          <cell r="Z185">
            <v>105002.61366499617</v>
          </cell>
          <cell r="AA185">
            <v>50491.266092678474</v>
          </cell>
          <cell r="AB185">
            <v>72111.482535206072</v>
          </cell>
          <cell r="AC185">
            <v>37047.397335406538</v>
          </cell>
          <cell r="AD185">
            <v>53832.946654363441</v>
          </cell>
          <cell r="AE185">
            <v>444107.86361745605</v>
          </cell>
          <cell r="AG185">
            <v>431134.58605149202</v>
          </cell>
          <cell r="AH185">
            <v>12973.277565964032</v>
          </cell>
          <cell r="AI185">
            <v>2.9211996969139245E-2</v>
          </cell>
        </row>
        <row r="186">
          <cell r="E186">
            <v>6907</v>
          </cell>
          <cell r="F186" t="str">
            <v>Parkwood E-Act Academy</v>
          </cell>
          <cell r="G186">
            <v>0.178660049627792</v>
          </cell>
          <cell r="H186">
            <v>0.317617866004963</v>
          </cell>
          <cell r="I186">
            <v>0.25310173697270499</v>
          </cell>
          <cell r="J186">
            <v>3.2258064516128997E-2</v>
          </cell>
          <cell r="K186">
            <v>0.121588089330025</v>
          </cell>
          <cell r="L186">
            <v>2.4813895781637701E-2</v>
          </cell>
          <cell r="M186">
            <v>7.1960297766749406E-2</v>
          </cell>
          <cell r="N186">
            <v>1.0000000000000011</v>
          </cell>
          <cell r="P186">
            <v>144.00000000000034</v>
          </cell>
          <cell r="Q186">
            <v>256.00000000000017</v>
          </cell>
          <cell r="R186">
            <v>204.00000000000023</v>
          </cell>
          <cell r="S186">
            <v>25.999999999999972</v>
          </cell>
          <cell r="T186">
            <v>98.000000000000156</v>
          </cell>
          <cell r="U186">
            <v>19.999999999999986</v>
          </cell>
          <cell r="V186">
            <v>58.000000000000021</v>
          </cell>
          <cell r="W186">
            <v>806</v>
          </cell>
          <cell r="Y186">
            <v>103963.16469087379</v>
          </cell>
          <cell r="Z186">
            <v>145300.91404453493</v>
          </cell>
          <cell r="AA186">
            <v>107293.94044694187</v>
          </cell>
          <cell r="AB186">
            <v>12583.211717552753</v>
          </cell>
          <cell r="AC186">
            <v>33931.261110933141</v>
          </cell>
          <cell r="AD186">
            <v>5176.2448706118766</v>
          </cell>
          <cell r="AE186">
            <v>408248.73688144836</v>
          </cell>
          <cell r="AG186">
            <v>409473.71399855893</v>
          </cell>
          <cell r="AH186">
            <v>-1224.9771171105676</v>
          </cell>
          <cell r="AI186">
            <v>-3.0005656024020707E-3</v>
          </cell>
        </row>
        <row r="187">
          <cell r="E187">
            <v>6905</v>
          </cell>
          <cell r="F187" t="str">
            <v>Sheffield Park Academy</v>
          </cell>
          <cell r="G187">
            <v>0.21485148514851499</v>
          </cell>
          <cell r="H187">
            <v>0.40594059405940602</v>
          </cell>
          <cell r="I187">
            <v>3.6633663366336597E-2</v>
          </cell>
          <cell r="J187">
            <v>0.17821782178217799</v>
          </cell>
          <cell r="K187">
            <v>0.137623762376238</v>
          </cell>
          <cell r="L187">
            <v>7.9207920792079192E-3</v>
          </cell>
          <cell r="M187">
            <v>1.8811881188118801E-2</v>
          </cell>
          <cell r="N187">
            <v>1.0000000000000002</v>
          </cell>
          <cell r="P187">
            <v>217.00000000000014</v>
          </cell>
          <cell r="Q187">
            <v>410.00000000000006</v>
          </cell>
          <cell r="R187">
            <v>36.999999999999964</v>
          </cell>
          <cell r="S187">
            <v>179.99999999999977</v>
          </cell>
          <cell r="T187">
            <v>139.00000000000037</v>
          </cell>
          <cell r="U187">
            <v>7.9999999999999982</v>
          </cell>
          <cell r="V187">
            <v>18.999999999999989</v>
          </cell>
          <cell r="W187">
            <v>1010</v>
          </cell>
          <cell r="Y187">
            <v>156666.71345777481</v>
          </cell>
          <cell r="Z187">
            <v>232708.49514945038</v>
          </cell>
          <cell r="AA187">
            <v>19460.17547321981</v>
          </cell>
          <cell r="AB187">
            <v>87114.54265998058</v>
          </cell>
          <cell r="AC187">
            <v>48126.992800201144</v>
          </cell>
          <cell r="AD187">
            <v>2070.4979482447516</v>
          </cell>
          <cell r="AE187">
            <v>546147.41748887161</v>
          </cell>
          <cell r="AG187">
            <v>535142.03283679497</v>
          </cell>
          <cell r="AH187">
            <v>11005.384652076638</v>
          </cell>
          <cell r="AI187">
            <v>2.0150941485136447E-2</v>
          </cell>
        </row>
        <row r="188">
          <cell r="E188">
            <v>6906</v>
          </cell>
          <cell r="F188" t="str">
            <v>Sheffield Springs Academy</v>
          </cell>
          <cell r="G188">
            <v>0.304162219850587</v>
          </cell>
          <cell r="H188">
            <v>0.347918890074707</v>
          </cell>
          <cell r="I188">
            <v>0.100320170757737</v>
          </cell>
          <cell r="J188">
            <v>7.2572038420490897E-2</v>
          </cell>
          <cell r="K188">
            <v>3.4151547491995699E-2</v>
          </cell>
          <cell r="L188">
            <v>3.4151547491995699E-2</v>
          </cell>
          <cell r="M188">
            <v>0.106723585912487</v>
          </cell>
          <cell r="N188">
            <v>1.0000000000000002</v>
          </cell>
          <cell r="P188">
            <v>285.60832443970122</v>
          </cell>
          <cell r="Q188">
            <v>326.69583778014987</v>
          </cell>
          <cell r="R188">
            <v>94.20064034151504</v>
          </cell>
          <cell r="S188">
            <v>68.14514407684095</v>
          </cell>
          <cell r="T188">
            <v>32.06830309498396</v>
          </cell>
          <cell r="U188">
            <v>32.06830309498396</v>
          </cell>
          <cell r="V188">
            <v>100.21344717182529</v>
          </cell>
          <cell r="W188">
            <v>939</v>
          </cell>
          <cell r="Y188">
            <v>206199.61993617431</v>
          </cell>
          <cell r="Z188">
            <v>185426.57751562833</v>
          </cell>
          <cell r="AA188">
            <v>49544.891641501439</v>
          </cell>
          <cell r="AB188">
            <v>32980.183670847175</v>
          </cell>
          <cell r="AC188">
            <v>11103.244547963719</v>
          </cell>
          <cell r="AD188">
            <v>8299.669470231891</v>
          </cell>
          <cell r="AE188">
            <v>493554.18678234686</v>
          </cell>
          <cell r="AG188">
            <v>444054.0272475534</v>
          </cell>
          <cell r="AH188">
            <v>49500.159534793464</v>
          </cell>
          <cell r="AI188">
            <v>0.10029326234167396</v>
          </cell>
        </row>
        <row r="189">
          <cell r="E189">
            <v>4229</v>
          </cell>
          <cell r="F189" t="str">
            <v>Silverdale School</v>
          </cell>
          <cell r="G189">
            <v>9.8522167487684695E-3</v>
          </cell>
          <cell r="H189">
            <v>5.91133004926108E-2</v>
          </cell>
          <cell r="I189">
            <v>2.26600985221675E-2</v>
          </cell>
          <cell r="J189">
            <v>1.47783251231527E-2</v>
          </cell>
          <cell r="K189">
            <v>7.1921182266009895E-2</v>
          </cell>
          <cell r="L189">
            <v>1.9704433497536901E-2</v>
          </cell>
          <cell r="M189">
            <v>0.80197044334975398</v>
          </cell>
          <cell r="N189">
            <v>1.0000000000000002</v>
          </cell>
          <cell r="P189">
            <v>9.9999999999999964</v>
          </cell>
          <cell r="Q189">
            <v>59.999999999999964</v>
          </cell>
          <cell r="R189">
            <v>23.000000000000014</v>
          </cell>
          <cell r="S189">
            <v>14.999999999999991</v>
          </cell>
          <cell r="T189">
            <v>73.000000000000043</v>
          </cell>
          <cell r="U189">
            <v>19.999999999999954</v>
          </cell>
          <cell r="V189">
            <v>814.00000000000034</v>
          </cell>
          <cell r="W189">
            <v>1015</v>
          </cell>
          <cell r="Y189">
            <v>7219.6642146439926</v>
          </cell>
          <cell r="Z189">
            <v>34054.901729187834</v>
          </cell>
          <cell r="AA189">
            <v>12096.865834704224</v>
          </cell>
          <cell r="AB189">
            <v>7259.5452216650538</v>
          </cell>
          <cell r="AC189">
            <v>25275.327154062419</v>
          </cell>
          <cell r="AD189">
            <v>5176.2448706118685</v>
          </cell>
          <cell r="AE189">
            <v>91082.549024875392</v>
          </cell>
          <cell r="AG189">
            <v>97291.469419657733</v>
          </cell>
          <cell r="AH189">
            <v>-6208.9203947823407</v>
          </cell>
          <cell r="AI189">
            <v>-6.8168057012618674E-2</v>
          </cell>
        </row>
        <row r="190">
          <cell r="E190">
            <v>4271</v>
          </cell>
          <cell r="F190" t="str">
            <v>Stocksbridge High School</v>
          </cell>
          <cell r="G190">
            <v>0</v>
          </cell>
          <cell r="H190">
            <v>7.0175438596491196E-2</v>
          </cell>
          <cell r="I190">
            <v>1.2531328320802E-3</v>
          </cell>
          <cell r="J190">
            <v>0.20676691729323299</v>
          </cell>
          <cell r="K190">
            <v>4.5112781954887202E-2</v>
          </cell>
          <cell r="L190">
            <v>0.110275689223058</v>
          </cell>
          <cell r="M190">
            <v>0.56641604010025104</v>
          </cell>
          <cell r="N190">
            <v>1.0000000000000007</v>
          </cell>
          <cell r="P190">
            <v>0</v>
          </cell>
          <cell r="Q190">
            <v>55.999999999999972</v>
          </cell>
          <cell r="R190">
            <v>0.99999999999999956</v>
          </cell>
          <cell r="S190">
            <v>164.99999999999991</v>
          </cell>
          <cell r="T190">
            <v>35.999999999999986</v>
          </cell>
          <cell r="U190">
            <v>88.000000000000284</v>
          </cell>
          <cell r="V190">
            <v>452.00000000000034</v>
          </cell>
          <cell r="W190">
            <v>798</v>
          </cell>
          <cell r="Y190">
            <v>0</v>
          </cell>
          <cell r="Z190">
            <v>31784.574947241981</v>
          </cell>
          <cell r="AA190">
            <v>525.9506884654005</v>
          </cell>
          <cell r="AB190">
            <v>79854.997438315593</v>
          </cell>
          <cell r="AC190">
            <v>12464.544897893784</v>
          </cell>
          <cell r="AD190">
            <v>22775.477430692346</v>
          </cell>
          <cell r="AE190">
            <v>147405.5454026091</v>
          </cell>
          <cell r="AG190">
            <v>142991.27632898832</v>
          </cell>
          <cell r="AH190">
            <v>4414.2690736207878</v>
          </cell>
          <cell r="AI190">
            <v>2.9946424753316332E-2</v>
          </cell>
        </row>
        <row r="191">
          <cell r="E191">
            <v>4234</v>
          </cell>
          <cell r="F191" t="str">
            <v>Tapton School</v>
          </cell>
          <cell r="G191">
            <v>5.9171597633136102E-3</v>
          </cell>
          <cell r="H191">
            <v>5.1035502958579899E-2</v>
          </cell>
          <cell r="I191">
            <v>1.1094674556213E-2</v>
          </cell>
          <cell r="J191">
            <v>8.8757396449704092E-3</v>
          </cell>
          <cell r="K191">
            <v>9.1715976331360902E-2</v>
          </cell>
          <cell r="L191">
            <v>1.03550295857988E-2</v>
          </cell>
          <cell r="M191">
            <v>0.82100591715976301</v>
          </cell>
          <cell r="N191">
            <v>0.99999999999999956</v>
          </cell>
          <cell r="P191">
            <v>8.0118343195266277</v>
          </cell>
          <cell r="Q191">
            <v>69.102071005917182</v>
          </cell>
          <cell r="R191">
            <v>15.022189349112402</v>
          </cell>
          <cell r="S191">
            <v>12.017751479289934</v>
          </cell>
          <cell r="T191">
            <v>124.18343195266266</v>
          </cell>
          <cell r="U191">
            <v>14.020710059171575</v>
          </cell>
          <cell r="V191">
            <v>1111.6420118343192</v>
          </cell>
          <cell r="W191">
            <v>1354</v>
          </cell>
          <cell r="Y191">
            <v>5784.2753530343025</v>
          </cell>
          <cell r="Z191">
            <v>39221.070623164516</v>
          </cell>
          <cell r="AA191">
            <v>7900.9308304232782</v>
          </cell>
          <cell r="AB191">
            <v>5816.2273551091621</v>
          </cell>
          <cell r="AC191">
            <v>42996.943420791715</v>
          </cell>
          <cell r="AD191">
            <v>3628.731426306163</v>
          </cell>
          <cell r="AE191">
            <v>105348.17900882913</v>
          </cell>
          <cell r="AG191">
            <v>111583.38344375783</v>
          </cell>
          <cell r="AH191">
            <v>-6235.2044349287025</v>
          </cell>
          <cell r="AI191">
            <v>-5.918663705051927E-2</v>
          </cell>
        </row>
        <row r="192">
          <cell r="E192">
            <v>4276</v>
          </cell>
          <cell r="F192" t="str">
            <v>The Birley Academy</v>
          </cell>
          <cell r="G192">
            <v>5.0326188257222702E-2</v>
          </cell>
          <cell r="H192">
            <v>6.3373718546132302E-2</v>
          </cell>
          <cell r="I192">
            <v>0.121155638397018</v>
          </cell>
          <cell r="J192">
            <v>0.121155638397018</v>
          </cell>
          <cell r="K192">
            <v>8.2013047530288902E-2</v>
          </cell>
          <cell r="L192">
            <v>7.5489282385834106E-2</v>
          </cell>
          <cell r="M192">
            <v>0.48648648648648701</v>
          </cell>
          <cell r="N192">
            <v>1.0000000000000009</v>
          </cell>
          <cell r="P192">
            <v>54.050326188257181</v>
          </cell>
          <cell r="Q192">
            <v>68.063373718546089</v>
          </cell>
          <cell r="R192">
            <v>130.12115563839734</v>
          </cell>
          <cell r="S192">
            <v>130.12115563839734</v>
          </cell>
          <cell r="T192">
            <v>88.082013047530282</v>
          </cell>
          <cell r="U192">
            <v>81.075489282385831</v>
          </cell>
          <cell r="V192">
            <v>522.48648648648702</v>
          </cell>
          <cell r="W192">
            <v>1074</v>
          </cell>
          <cell r="Y192">
            <v>39022.520577119554</v>
          </cell>
          <cell r="Z192">
            <v>38631.52505570124</v>
          </cell>
          <cell r="AA192">
            <v>68437.311391928641</v>
          </cell>
          <cell r="AB192">
            <v>62974.694243484184</v>
          </cell>
          <cell r="AC192">
            <v>30497.283509105768</v>
          </cell>
          <cell r="AD192">
            <v>20983.329276514905</v>
          </cell>
          <cell r="AE192">
            <v>260546.6640538543</v>
          </cell>
          <cell r="AG192">
            <v>260902.08380167442</v>
          </cell>
          <cell r="AH192">
            <v>-355.41974782012403</v>
          </cell>
          <cell r="AI192">
            <v>-1.364130871184978E-3</v>
          </cell>
        </row>
        <row r="193">
          <cell r="E193">
            <v>4004</v>
          </cell>
          <cell r="F193" t="str">
            <v>UTC Sheffield City Centre</v>
          </cell>
          <cell r="G193">
            <v>0.10223642172524</v>
          </cell>
          <cell r="H193">
            <v>0.12779552715654999</v>
          </cell>
          <cell r="I193">
            <v>8.9456869009584702E-2</v>
          </cell>
          <cell r="J193">
            <v>4.7923322683706103E-2</v>
          </cell>
          <cell r="K193">
            <v>7.6677316293929695E-2</v>
          </cell>
          <cell r="L193">
            <v>7.9872204472843406E-2</v>
          </cell>
          <cell r="M193">
            <v>0.47603833865814699</v>
          </cell>
          <cell r="N193">
            <v>1.0000000000000009</v>
          </cell>
          <cell r="P193">
            <v>32.000000000000121</v>
          </cell>
          <cell r="Q193">
            <v>40.000000000000149</v>
          </cell>
          <cell r="R193">
            <v>28.000000000000011</v>
          </cell>
          <cell r="S193">
            <v>15.000000000000011</v>
          </cell>
          <cell r="T193">
            <v>23.999999999999993</v>
          </cell>
          <cell r="U193">
            <v>24.999999999999986</v>
          </cell>
          <cell r="V193">
            <v>149</v>
          </cell>
          <cell r="W193">
            <v>313</v>
          </cell>
          <cell r="Y193">
            <v>23102.925486860873</v>
          </cell>
          <cell r="Z193">
            <v>22703.267819458655</v>
          </cell>
          <cell r="AA193">
            <v>14726.619277031226</v>
          </cell>
          <cell r="AB193">
            <v>7259.5452216650629</v>
          </cell>
          <cell r="AC193">
            <v>8309.6965985958559</v>
          </cell>
          <cell r="AD193">
            <v>6470.306088264846</v>
          </cell>
          <cell r="AE193">
            <v>82572.36049187652</v>
          </cell>
          <cell r="AG193">
            <v>76188.212093054201</v>
          </cell>
          <cell r="AH193">
            <v>6384.148398822319</v>
          </cell>
          <cell r="AI193">
            <v>7.7315803506070202E-2</v>
          </cell>
        </row>
        <row r="194">
          <cell r="E194">
            <v>4010</v>
          </cell>
          <cell r="F194" t="str">
            <v>UTC Sheffield Olympic Legacy Park</v>
          </cell>
          <cell r="G194">
            <v>9.3023255813953501E-2</v>
          </cell>
          <cell r="H194">
            <v>0.18936877076412001</v>
          </cell>
          <cell r="I194">
            <v>9.6345514950166106E-2</v>
          </cell>
          <cell r="J194">
            <v>8.6378737541528194E-2</v>
          </cell>
          <cell r="K194">
            <v>9.9667774086378697E-2</v>
          </cell>
          <cell r="L194">
            <v>8.3056478405315604E-2</v>
          </cell>
          <cell r="M194">
            <v>0.35215946843853801</v>
          </cell>
          <cell r="N194">
            <v>1</v>
          </cell>
          <cell r="P194">
            <v>28.093023255813957</v>
          </cell>
          <cell r="Q194">
            <v>57.18936877076424</v>
          </cell>
          <cell r="R194">
            <v>29.096345514950166</v>
          </cell>
          <cell r="S194">
            <v>26.086378737541516</v>
          </cell>
          <cell r="T194">
            <v>30.099667774086367</v>
          </cell>
          <cell r="U194">
            <v>25.083056478405311</v>
          </cell>
          <cell r="V194">
            <v>106.35215946843849</v>
          </cell>
          <cell r="W194">
            <v>302</v>
          </cell>
          <cell r="Y194">
            <v>20282.219468116156</v>
          </cell>
          <cell r="Z194">
            <v>32459.638890711016</v>
          </cell>
          <cell r="AA194">
            <v>15303.242955415215</v>
          </cell>
          <cell r="AB194">
            <v>12625.016407644298</v>
          </cell>
          <cell r="AC194">
            <v>10421.629455049619</v>
          </cell>
          <cell r="AD194">
            <v>6491.802121780679</v>
          </cell>
          <cell r="AE194">
            <v>97583.549298717</v>
          </cell>
          <cell r="AG194">
            <v>92152.703977670622</v>
          </cell>
          <cell r="AH194">
            <v>5430.8453210463776</v>
          </cell>
          <cell r="AI194">
            <v>5.5653287465716114E-2</v>
          </cell>
        </row>
        <row r="195">
          <cell r="E195">
            <v>4013</v>
          </cell>
          <cell r="F195" t="str">
            <v>Westfield School</v>
          </cell>
          <cell r="G195">
            <v>5.0377833753148596E-3</v>
          </cell>
          <cell r="H195">
            <v>5.6255247691016003E-2</v>
          </cell>
          <cell r="I195">
            <v>2.9387069689336701E-2</v>
          </cell>
          <cell r="J195">
            <v>3.86230058774139E-2</v>
          </cell>
          <cell r="K195">
            <v>6.0453400503778301E-2</v>
          </cell>
          <cell r="L195">
            <v>0.25860621326616301</v>
          </cell>
          <cell r="M195">
            <v>0.55163727959697695</v>
          </cell>
          <cell r="N195">
            <v>0.99999999999999978</v>
          </cell>
          <cell r="P195">
            <v>5.9999999999999973</v>
          </cell>
          <cell r="Q195">
            <v>67.000000000000057</v>
          </cell>
          <cell r="R195">
            <v>35.000000000000007</v>
          </cell>
          <cell r="S195">
            <v>45.999999999999957</v>
          </cell>
          <cell r="T195">
            <v>71.999999999999957</v>
          </cell>
          <cell r="U195">
            <v>308.00000000000017</v>
          </cell>
          <cell r="V195">
            <v>656.99999999999955</v>
          </cell>
          <cell r="W195">
            <v>1191</v>
          </cell>
          <cell r="Y195">
            <v>4331.7985287863958</v>
          </cell>
          <cell r="Z195">
            <v>38027.97359759314</v>
          </cell>
          <cell r="AA195">
            <v>18408.274096289028</v>
          </cell>
          <cell r="AB195">
            <v>22262.60534643949</v>
          </cell>
          <cell r="AC195">
            <v>24929.08979578756</v>
          </cell>
          <cell r="AD195">
            <v>79714.171007422992</v>
          </cell>
          <cell r="AE195">
            <v>187673.91237231862</v>
          </cell>
          <cell r="AG195">
            <v>180585.16916513158</v>
          </cell>
          <cell r="AH195">
            <v>7088.7432071870426</v>
          </cell>
          <cell r="AI195">
            <v>3.7771596049662855E-2</v>
          </cell>
        </row>
        <row r="196">
          <cell r="E196">
            <v>4016</v>
          </cell>
          <cell r="F196" t="str">
            <v>Yewlands Academy</v>
          </cell>
          <cell r="G196">
            <v>0.11872146118721499</v>
          </cell>
          <cell r="H196">
            <v>0.41324200913241999</v>
          </cell>
          <cell r="I196">
            <v>7.0776255707762595E-2</v>
          </cell>
          <cell r="J196">
            <v>2.2831050228310501E-3</v>
          </cell>
          <cell r="K196">
            <v>2.62557077625571E-2</v>
          </cell>
          <cell r="L196">
            <v>0.14611872146118701</v>
          </cell>
          <cell r="M196">
            <v>0.22260273972602701</v>
          </cell>
          <cell r="N196">
            <v>0.99999999999999978</v>
          </cell>
          <cell r="P196">
            <v>104.00000000000034</v>
          </cell>
          <cell r="Q196">
            <v>361.99999999999989</v>
          </cell>
          <cell r="R196">
            <v>62.000000000000036</v>
          </cell>
          <cell r="S196">
            <v>2</v>
          </cell>
          <cell r="T196">
            <v>23.000000000000021</v>
          </cell>
          <cell r="U196">
            <v>127.99999999999983</v>
          </cell>
          <cell r="V196">
            <v>194.99999999999966</v>
          </cell>
          <cell r="W196">
            <v>876</v>
          </cell>
          <cell r="Y196">
            <v>75084.507832297793</v>
          </cell>
          <cell r="Z196">
            <v>205464.57376609999</v>
          </cell>
          <cell r="AA196">
            <v>32608.942684854865</v>
          </cell>
          <cell r="AB196">
            <v>967.9393628886744</v>
          </cell>
          <cell r="AC196">
            <v>7963.4592403210381</v>
          </cell>
          <cell r="AD196">
            <v>33127.967171915989</v>
          </cell>
          <cell r="AE196">
            <v>355217.39005837834</v>
          </cell>
          <cell r="AG196">
            <v>333195.29952330468</v>
          </cell>
          <cell r="AH196">
            <v>22022.090535073658</v>
          </cell>
          <cell r="AI196">
            <v>6.1996093523051979E-2</v>
          </cell>
        </row>
        <row r="197">
          <cell r="E197">
            <v>4014</v>
          </cell>
          <cell r="F197" t="str">
            <v>Astrea Academy - Woodside x 7/12</v>
          </cell>
          <cell r="G197">
            <v>2.6315789473684199E-2</v>
          </cell>
          <cell r="H197">
            <v>0.17105263157894701</v>
          </cell>
          <cell r="I197">
            <v>0.49177631578947401</v>
          </cell>
          <cell r="J197">
            <v>7.07236842105263E-2</v>
          </cell>
          <cell r="K197">
            <v>0.20394736842105299</v>
          </cell>
          <cell r="L197">
            <v>1.8092105263157899E-2</v>
          </cell>
          <cell r="M197">
            <v>1.8092105263157899E-2</v>
          </cell>
          <cell r="N197">
            <v>1.0000000000000002</v>
          </cell>
          <cell r="P197">
            <v>18.302631578947359</v>
          </cell>
          <cell r="Q197">
            <v>118.96710526315765</v>
          </cell>
          <cell r="R197">
            <v>342.03042763157919</v>
          </cell>
          <cell r="S197">
            <v>49.188322368421041</v>
          </cell>
          <cell r="T197">
            <v>141.84539473684237</v>
          </cell>
          <cell r="U197">
            <v>12.583059210526319</v>
          </cell>
          <cell r="V197">
            <v>12.583059210526319</v>
          </cell>
          <cell r="W197">
            <v>695.5</v>
          </cell>
          <cell r="Y197">
            <v>13213.885424433938</v>
          </cell>
          <cell r="Z197">
            <v>67523.551312379685</v>
          </cell>
          <cell r="AA197">
            <v>179891.13888894449</v>
          </cell>
          <cell r="AB197">
            <v>23805.656707426097</v>
          </cell>
          <cell r="AC197">
            <v>49112.174757134409</v>
          </cell>
          <cell r="AD197">
            <v>3256.6497847546216</v>
          </cell>
          <cell r="AE197">
            <v>336803.05687507323</v>
          </cell>
          <cell r="AG197">
            <v>41257.807432978523</v>
          </cell>
          <cell r="AH197">
            <v>295545.2494420947</v>
          </cell>
          <cell r="AI197">
            <v>0.87750168357800318</v>
          </cell>
        </row>
        <row r="198">
          <cell r="E198">
            <v>4225</v>
          </cell>
          <cell r="F198" t="str">
            <v>Hinde House 3-16 School</v>
          </cell>
          <cell r="G198">
            <v>8.6549707602339196E-2</v>
          </cell>
          <cell r="H198">
            <v>0.30292397660818698</v>
          </cell>
          <cell r="I198">
            <v>0.205847953216374</v>
          </cell>
          <cell r="J198">
            <v>4.4444444444444398E-2</v>
          </cell>
          <cell r="K198">
            <v>0.15438596491228099</v>
          </cell>
          <cell r="L198">
            <v>8.6549707602339196E-2</v>
          </cell>
          <cell r="M198">
            <v>0.119298245614035</v>
          </cell>
          <cell r="N198">
            <v>0.99999999999999967</v>
          </cell>
          <cell r="P198">
            <v>74.000000000000014</v>
          </cell>
          <cell r="Q198">
            <v>258.99999999999989</v>
          </cell>
          <cell r="R198">
            <v>175.99999999999977</v>
          </cell>
          <cell r="S198">
            <v>37.999999999999957</v>
          </cell>
          <cell r="T198">
            <v>132.00000000000026</v>
          </cell>
          <cell r="U198">
            <v>74.000000000000014</v>
          </cell>
          <cell r="V198">
            <v>101.99999999999993</v>
          </cell>
          <cell r="W198">
            <v>855</v>
          </cell>
          <cell r="Y198">
            <v>53425.515188365578</v>
          </cell>
          <cell r="Z198">
            <v>147003.65913099417</v>
          </cell>
          <cell r="AA198">
            <v>92567.321169910414</v>
          </cell>
          <cell r="AB198">
            <v>18390.847894884791</v>
          </cell>
          <cell r="AC198">
            <v>45703.331292277311</v>
          </cell>
          <cell r="AD198">
            <v>19152.10602126396</v>
          </cell>
          <cell r="AE198">
            <v>376242.78069769626</v>
          </cell>
          <cell r="AG198">
            <v>146971.50821122597</v>
          </cell>
          <cell r="AH198">
            <v>229271.27248647029</v>
          </cell>
          <cell r="AI198">
            <v>0.6093705560577527</v>
          </cell>
        </row>
        <row r="199">
          <cell r="E199">
            <v>4005</v>
          </cell>
          <cell r="F199" t="str">
            <v>Oasis Academy Don Valley</v>
          </cell>
          <cell r="G199">
            <v>1.6260162601626001E-2</v>
          </cell>
          <cell r="H199">
            <v>0.67073170731707299</v>
          </cell>
          <cell r="I199">
            <v>3.65853658536585E-2</v>
          </cell>
          <cell r="J199">
            <v>0.19512195121951201</v>
          </cell>
          <cell r="K199">
            <v>6.7073170731707293E-2</v>
          </cell>
          <cell r="L199">
            <v>6.0975609756097598E-3</v>
          </cell>
          <cell r="M199">
            <v>8.1300813008130107E-3</v>
          </cell>
          <cell r="N199">
            <v>0.99999999999999956</v>
          </cell>
          <cell r="P199">
            <v>9.4227642276422667</v>
          </cell>
          <cell r="Q199">
            <v>388.68902439024379</v>
          </cell>
          <cell r="R199">
            <v>21.201219512195099</v>
          </cell>
          <cell r="S199">
            <v>113.07317073170721</v>
          </cell>
          <cell r="T199">
            <v>38.868902439024374</v>
          </cell>
          <cell r="U199">
            <v>3.5335365853658556</v>
          </cell>
          <cell r="V199">
            <v>4.7113821138211396</v>
          </cell>
          <cell r="W199">
            <v>579.5</v>
          </cell>
          <cell r="Y199">
            <v>6802.9193697336441</v>
          </cell>
          <cell r="Z199">
            <v>220612.77548039422</v>
          </cell>
          <cell r="AA199">
            <v>11150.795998745099</v>
          </cell>
          <cell r="AB199">
            <v>54723.986418925488</v>
          </cell>
          <cell r="AC199">
            <v>13457.866099529796</v>
          </cell>
          <cell r="AD199">
            <v>914.52253125597133</v>
          </cell>
          <cell r="AE199">
            <v>307662.86589858419</v>
          </cell>
          <cell r="AG199">
            <v>138029.37532791021</v>
          </cell>
          <cell r="AH199">
            <v>169633.49057067398</v>
          </cell>
          <cell r="AI199">
            <v>0.55136160184697347</v>
          </cell>
        </row>
        <row r="201">
          <cell r="F201" t="str">
            <v>Total Secondary</v>
          </cell>
          <cell r="P201">
            <v>2268.2664701699059</v>
          </cell>
          <cell r="Q201">
            <v>5414.8082777037016</v>
          </cell>
          <cell r="R201">
            <v>3114.1223067637156</v>
          </cell>
          <cell r="S201">
            <v>1589.0698183498373</v>
          </cell>
          <cell r="T201">
            <v>2335.9636893057514</v>
          </cell>
          <cell r="U201">
            <v>1979.3448873467819</v>
          </cell>
          <cell r="V201">
            <v>12999.424550360305</v>
          </cell>
          <cell r="W201">
            <v>29701</v>
          </cell>
          <cell r="X201">
            <v>0</v>
          </cell>
          <cell r="Y201">
            <v>1637612.2263962515</v>
          </cell>
          <cell r="Z201">
            <v>3073346.0629932089</v>
          </cell>
          <cell r="AA201">
            <v>1637874.7712078374</v>
          </cell>
          <cell r="AB201">
            <v>769061.61377958127</v>
          </cell>
          <cell r="AC201">
            <v>808797.89681114315</v>
          </cell>
          <cell r="AD201">
            <v>512278.69101503148</v>
          </cell>
          <cell r="AE201">
            <v>8438971.2622030545</v>
          </cell>
          <cell r="AG201">
            <v>7552621.7542754756</v>
          </cell>
          <cell r="AH201">
            <v>886349.50792757981</v>
          </cell>
          <cell r="AI201">
            <v>0.10503051620727902</v>
          </cell>
        </row>
        <row r="202">
          <cell r="AE202">
            <v>0</v>
          </cell>
        </row>
        <row r="203">
          <cell r="F203" t="str">
            <v>Total All Schools</v>
          </cell>
          <cell r="P203">
            <v>5777.3431626840465</v>
          </cell>
          <cell r="Q203">
            <v>13669.5684560673</v>
          </cell>
          <cell r="R203">
            <v>7701.2633898562208</v>
          </cell>
          <cell r="S203">
            <v>4015.890913852345</v>
          </cell>
          <cell r="T203">
            <v>5960.4482184430408</v>
          </cell>
          <cell r="U203">
            <v>4896.4247269613707</v>
          </cell>
          <cell r="V203">
            <v>31788.311132135681</v>
          </cell>
          <cell r="W203">
            <v>73809.25</v>
          </cell>
          <cell r="X203">
            <v>0</v>
          </cell>
          <cell r="Y203">
            <v>3359730.8152728034</v>
          </cell>
          <cell r="Z203">
            <v>6176837.0745730326</v>
          </cell>
          <cell r="AA203">
            <v>3253855.9257368622</v>
          </cell>
          <cell r="AB203">
            <v>1556103.4949591598</v>
          </cell>
          <cell r="AC203">
            <v>1555137.1631894158</v>
          </cell>
          <cell r="AD203">
            <v>1008321.7749535341</v>
          </cell>
          <cell r="AE203">
            <v>16909986.248684809</v>
          </cell>
          <cell r="AG203">
            <v>15882411.071298171</v>
          </cell>
          <cell r="AH203">
            <v>1027575.1773866416</v>
          </cell>
          <cell r="AI203">
            <v>6.0767357363555652E-2</v>
          </cell>
        </row>
        <row r="204">
          <cell r="W204">
            <v>0</v>
          </cell>
          <cell r="AE204">
            <v>0</v>
          </cell>
        </row>
      </sheetData>
      <sheetData sheetId="21">
        <row r="1">
          <cell r="E1" t="str">
            <v>FSM Funding</v>
          </cell>
          <cell r="G1" t="str">
            <v>2022-23</v>
          </cell>
        </row>
        <row r="2">
          <cell r="I2" t="str">
            <v>2021-22</v>
          </cell>
          <cell r="J2" t="str">
            <v>2022-23</v>
          </cell>
          <cell r="K2" t="str">
            <v>NFF to use</v>
          </cell>
          <cell r="L2" t="str">
            <v>2021-22</v>
          </cell>
          <cell r="M2" t="str">
            <v>2022-23</v>
          </cell>
          <cell r="N2" t="str">
            <v>NFF to use</v>
          </cell>
        </row>
        <row r="3">
          <cell r="H3" t="str">
            <v>Primary</v>
          </cell>
          <cell r="I3">
            <v>328.2950002624226</v>
          </cell>
          <cell r="J3">
            <v>363.56608428317645</v>
          </cell>
          <cell r="K3">
            <v>338.21435024405304</v>
          </cell>
          <cell r="L3">
            <v>301.85465225079417</v>
          </cell>
          <cell r="M3">
            <v>476.59118920722159</v>
          </cell>
          <cell r="N3">
            <v>322.02482659323857</v>
          </cell>
        </row>
        <row r="4">
          <cell r="H4" t="str">
            <v>Secondary</v>
          </cell>
          <cell r="I4">
            <v>519.68317430277602</v>
          </cell>
          <cell r="J4">
            <v>470</v>
          </cell>
          <cell r="K4">
            <v>470</v>
          </cell>
          <cell r="L4">
            <v>406.58123911635505</v>
          </cell>
          <cell r="M4">
            <v>435.93366606179188</v>
          </cell>
          <cell r="N4">
            <v>438.67055237821017</v>
          </cell>
        </row>
        <row r="6">
          <cell r="E6" t="str">
            <v>DfE</v>
          </cell>
          <cell r="F6" t="str">
            <v>School</v>
          </cell>
          <cell r="G6" t="str">
            <v>Pupil No.</v>
          </cell>
          <cell r="H6" t="str">
            <v>FSM %</v>
          </cell>
          <cell r="I6" t="str">
            <v>No. FSM</v>
          </cell>
          <cell r="J6" t="str">
            <v>Amount £</v>
          </cell>
          <cell r="K6" t="str">
            <v>Ever6 %</v>
          </cell>
          <cell r="L6" t="str">
            <v>No. Ever6</v>
          </cell>
          <cell r="M6" t="str">
            <v>Amount £</v>
          </cell>
          <cell r="N6" t="str">
            <v>Total £</v>
          </cell>
        </row>
        <row r="8">
          <cell r="E8">
            <v>2001</v>
          </cell>
          <cell r="F8" t="str">
            <v>Abbey Lane Primary School</v>
          </cell>
          <cell r="G8">
            <v>557</v>
          </cell>
          <cell r="H8">
            <v>0.14362657091561901</v>
          </cell>
          <cell r="I8">
            <v>79.999999999999787</v>
          </cell>
          <cell r="J8">
            <v>29085.28674265404</v>
          </cell>
          <cell r="K8">
            <v>0.14901256732495499</v>
          </cell>
          <cell r="L8">
            <v>82.999999999999929</v>
          </cell>
          <cell r="M8">
            <v>39557.068704199359</v>
          </cell>
          <cell r="N8">
            <v>68642.355446853398</v>
          </cell>
        </row>
        <row r="9">
          <cell r="E9">
            <v>2046</v>
          </cell>
          <cell r="F9" t="str">
            <v>Abbeyfield Primary Academy</v>
          </cell>
          <cell r="G9">
            <v>354</v>
          </cell>
          <cell r="H9">
            <v>0.48587570621468901</v>
          </cell>
          <cell r="I9">
            <v>171.99999999999991</v>
          </cell>
          <cell r="J9">
            <v>62533.366496706316</v>
          </cell>
          <cell r="K9">
            <v>0.50564971751412402</v>
          </cell>
          <cell r="L9">
            <v>178.99999999999991</v>
          </cell>
          <cell r="M9">
            <v>85309.822868092626</v>
          </cell>
          <cell r="N9">
            <v>147843.18936479895</v>
          </cell>
        </row>
        <row r="10">
          <cell r="E10">
            <v>2048</v>
          </cell>
          <cell r="F10" t="str">
            <v>Acres Hill Community Primary School</v>
          </cell>
          <cell r="G10">
            <v>194</v>
          </cell>
          <cell r="H10">
            <v>0.47938144329896898</v>
          </cell>
          <cell r="I10">
            <v>92.999999999999986</v>
          </cell>
          <cell r="J10">
            <v>33811.645838335404</v>
          </cell>
          <cell r="K10">
            <v>0.52061855670103097</v>
          </cell>
          <cell r="L10">
            <v>101.00000000000001</v>
          </cell>
          <cell r="M10">
            <v>48135.710109929387</v>
          </cell>
          <cell r="N10">
            <v>81947.355948264798</v>
          </cell>
        </row>
        <row r="11">
          <cell r="E11">
            <v>2342</v>
          </cell>
          <cell r="F11" t="str">
            <v>Angram Bank Primary School</v>
          </cell>
          <cell r="G11">
            <v>195</v>
          </cell>
          <cell r="H11">
            <v>0.43076923076923102</v>
          </cell>
          <cell r="I11">
            <v>84.000000000000043</v>
          </cell>
          <cell r="J11">
            <v>30539.551079786837</v>
          </cell>
          <cell r="K11">
            <v>0.44102564102564101</v>
          </cell>
          <cell r="L11">
            <v>86</v>
          </cell>
          <cell r="M11">
            <v>40986.842271821057</v>
          </cell>
          <cell r="N11">
            <v>71526.393351607898</v>
          </cell>
        </row>
        <row r="12">
          <cell r="E12">
            <v>2343</v>
          </cell>
          <cell r="F12" t="str">
            <v>Anns Grove Primary School</v>
          </cell>
          <cell r="G12">
            <v>324</v>
          </cell>
          <cell r="H12">
            <v>0.38888888888888901</v>
          </cell>
          <cell r="I12">
            <v>126.00000000000004</v>
          </cell>
          <cell r="J12">
            <v>45809.326619680251</v>
          </cell>
          <cell r="K12">
            <v>0.40432098765432101</v>
          </cell>
          <cell r="L12">
            <v>131</v>
          </cell>
          <cell r="M12">
            <v>62433.445786146025</v>
          </cell>
          <cell r="N12">
            <v>108242.77240582628</v>
          </cell>
        </row>
        <row r="13">
          <cell r="E13">
            <v>3429</v>
          </cell>
          <cell r="F13" t="str">
            <v>Arbourthorne Community Primary School</v>
          </cell>
          <cell r="G13">
            <v>403</v>
          </cell>
          <cell r="H13">
            <v>0.61042183622828805</v>
          </cell>
          <cell r="I13">
            <v>246.00000000000009</v>
          </cell>
          <cell r="J13">
            <v>89437.256733661445</v>
          </cell>
          <cell r="K13">
            <v>0.63771712158808902</v>
          </cell>
          <cell r="L13">
            <v>256.99999999999989</v>
          </cell>
          <cell r="M13">
            <v>122483.9356262559</v>
          </cell>
          <cell r="N13">
            <v>211921.19235991733</v>
          </cell>
        </row>
        <row r="14">
          <cell r="E14">
            <v>2340</v>
          </cell>
          <cell r="F14" t="str">
            <v>Athelstan Primary School</v>
          </cell>
          <cell r="G14">
            <v>615</v>
          </cell>
          <cell r="H14">
            <v>0.31544715447154498</v>
          </cell>
          <cell r="I14">
            <v>194.00000000000017</v>
          </cell>
          <cell r="J14">
            <v>70531.820350936294</v>
          </cell>
          <cell r="K14">
            <v>0.33008130081300802</v>
          </cell>
          <cell r="L14">
            <v>202.99999999999994</v>
          </cell>
          <cell r="M14">
            <v>96748.011409065963</v>
          </cell>
          <cell r="N14">
            <v>167279.83176000224</v>
          </cell>
        </row>
        <row r="15">
          <cell r="E15">
            <v>2281</v>
          </cell>
          <cell r="F15" t="str">
            <v>Ballifield Primary School</v>
          </cell>
          <cell r="G15">
            <v>415</v>
          </cell>
          <cell r="H15">
            <v>0.14698795180722901</v>
          </cell>
          <cell r="I15">
            <v>61.000000000000043</v>
          </cell>
          <cell r="J15">
            <v>22177.531141273779</v>
          </cell>
          <cell r="K15">
            <v>0.16385542168674699</v>
          </cell>
          <cell r="L15">
            <v>68</v>
          </cell>
          <cell r="M15">
            <v>32408.200866091069</v>
          </cell>
          <cell r="N15">
            <v>54585.732007364844</v>
          </cell>
        </row>
        <row r="16">
          <cell r="E16">
            <v>2322</v>
          </cell>
          <cell r="F16" t="str">
            <v>Bankwood Community Primary School</v>
          </cell>
          <cell r="G16">
            <v>363</v>
          </cell>
          <cell r="H16">
            <v>0.721763085399449</v>
          </cell>
          <cell r="I16">
            <v>262</v>
          </cell>
          <cell r="J16">
            <v>95254.314082192228</v>
          </cell>
          <cell r="K16">
            <v>0.73278236914600503</v>
          </cell>
          <cell r="L16">
            <v>265.99999999999983</v>
          </cell>
          <cell r="M16">
            <v>126773.25632912086</v>
          </cell>
          <cell r="N16">
            <v>222027.57041131309</v>
          </cell>
        </row>
        <row r="17">
          <cell r="E17">
            <v>2274</v>
          </cell>
          <cell r="F17" t="str">
            <v>Beck Primary School</v>
          </cell>
          <cell r="G17">
            <v>610</v>
          </cell>
          <cell r="H17">
            <v>0.51967213114754096</v>
          </cell>
          <cell r="I17">
            <v>317</v>
          </cell>
          <cell r="J17">
            <v>115250.44871776694</v>
          </cell>
          <cell r="K17">
            <v>0.55737704918032804</v>
          </cell>
          <cell r="L17">
            <v>340.00000000000011</v>
          </cell>
          <cell r="M17">
            <v>162041.00433045538</v>
          </cell>
          <cell r="N17">
            <v>277291.45304822235</v>
          </cell>
        </row>
        <row r="18">
          <cell r="E18">
            <v>2241</v>
          </cell>
          <cell r="F18" t="str">
            <v>Beighton Nursery Infant School</v>
          </cell>
          <cell r="G18">
            <v>249</v>
          </cell>
          <cell r="H18">
            <v>0.14859437751004001</v>
          </cell>
          <cell r="I18">
            <v>36.999999999999964</v>
          </cell>
          <cell r="J18">
            <v>13451.945118477515</v>
          </cell>
          <cell r="K18">
            <v>0.14859437751004001</v>
          </cell>
          <cell r="L18">
            <v>36.999999999999964</v>
          </cell>
          <cell r="M18">
            <v>17633.874000667183</v>
          </cell>
          <cell r="N18">
            <v>31085.819119144697</v>
          </cell>
        </row>
        <row r="19">
          <cell r="E19">
            <v>2353</v>
          </cell>
          <cell r="F19" t="str">
            <v>Birley Primary Academy</v>
          </cell>
          <cell r="G19">
            <v>533</v>
          </cell>
          <cell r="H19">
            <v>0.25703564727954997</v>
          </cell>
          <cell r="I19">
            <v>137.00000000000014</v>
          </cell>
          <cell r="J19">
            <v>49808.553546795229</v>
          </cell>
          <cell r="K19">
            <v>0.27579737335834897</v>
          </cell>
          <cell r="L19">
            <v>147</v>
          </cell>
          <cell r="M19">
            <v>70058.904813461573</v>
          </cell>
          <cell r="N19">
            <v>119867.4583602568</v>
          </cell>
        </row>
        <row r="20">
          <cell r="E20">
            <v>2323</v>
          </cell>
          <cell r="F20" t="str">
            <v>Birley Spa Primary Academy</v>
          </cell>
          <cell r="G20">
            <v>355</v>
          </cell>
          <cell r="H20">
            <v>0.35492957746478898</v>
          </cell>
          <cell r="I20">
            <v>126.00000000000009</v>
          </cell>
          <cell r="J20">
            <v>45809.326619680265</v>
          </cell>
          <cell r="K20">
            <v>0.38309859154929599</v>
          </cell>
          <cell r="L20">
            <v>136.00000000000009</v>
          </cell>
          <cell r="M20">
            <v>64816.401732182174</v>
          </cell>
          <cell r="N20">
            <v>110625.72835186243</v>
          </cell>
        </row>
        <row r="21">
          <cell r="E21">
            <v>2328</v>
          </cell>
          <cell r="F21" t="str">
            <v>Bradfield Dungworth Primary School</v>
          </cell>
          <cell r="G21">
            <v>126</v>
          </cell>
          <cell r="H21">
            <v>7.9365079365079402E-2</v>
          </cell>
          <cell r="I21">
            <v>10.000000000000005</v>
          </cell>
          <cell r="J21">
            <v>3635.6608428317663</v>
          </cell>
          <cell r="K21">
            <v>7.9365079365079402E-2</v>
          </cell>
          <cell r="L21">
            <v>10.000000000000005</v>
          </cell>
          <cell r="M21">
            <v>4765.9118920722185</v>
          </cell>
          <cell r="N21">
            <v>8401.5727349039844</v>
          </cell>
        </row>
        <row r="22">
          <cell r="E22">
            <v>2233</v>
          </cell>
          <cell r="F22" t="str">
            <v>Bradway Primary School</v>
          </cell>
          <cell r="G22">
            <v>413</v>
          </cell>
          <cell r="H22">
            <v>0.14043583535109</v>
          </cell>
          <cell r="I22">
            <v>58.000000000000171</v>
          </cell>
          <cell r="J22">
            <v>21086.832888424295</v>
          </cell>
          <cell r="K22">
            <v>0.15012106537530301</v>
          </cell>
          <cell r="L22">
            <v>62.000000000000142</v>
          </cell>
          <cell r="M22">
            <v>29548.653730847807</v>
          </cell>
          <cell r="N22">
            <v>50635.486619272102</v>
          </cell>
        </row>
        <row r="23">
          <cell r="E23">
            <v>2014</v>
          </cell>
          <cell r="F23" t="str">
            <v>Brightside Nursery and Infant School</v>
          </cell>
          <cell r="G23">
            <v>171</v>
          </cell>
          <cell r="H23">
            <v>0.34502923976608202</v>
          </cell>
          <cell r="I23">
            <v>59.000000000000028</v>
          </cell>
          <cell r="J23">
            <v>21450.398972707422</v>
          </cell>
          <cell r="K23">
            <v>0.34502923976608202</v>
          </cell>
          <cell r="L23">
            <v>59.000000000000028</v>
          </cell>
          <cell r="M23">
            <v>28118.880163226087</v>
          </cell>
          <cell r="N23">
            <v>49569.27913593351</v>
          </cell>
        </row>
        <row r="24">
          <cell r="E24">
            <v>2246</v>
          </cell>
          <cell r="F24" t="str">
            <v>Brook House Junior</v>
          </cell>
          <cell r="G24">
            <v>339</v>
          </cell>
          <cell r="H24">
            <v>0.123893805309735</v>
          </cell>
          <cell r="I24">
            <v>42.000000000000163</v>
          </cell>
          <cell r="J24">
            <v>15269.77553989347</v>
          </cell>
          <cell r="K24">
            <v>0.156342182890855</v>
          </cell>
          <cell r="L24">
            <v>52.999999999999844</v>
          </cell>
          <cell r="M24">
            <v>25259.33302798267</v>
          </cell>
          <cell r="N24">
            <v>40529.108567876137</v>
          </cell>
        </row>
        <row r="25">
          <cell r="E25">
            <v>5204</v>
          </cell>
          <cell r="F25" t="str">
            <v>Broomhill Infant School</v>
          </cell>
          <cell r="G25">
            <v>112</v>
          </cell>
          <cell r="H25">
            <v>0.107142857142857</v>
          </cell>
          <cell r="I25">
            <v>11.999999999999984</v>
          </cell>
          <cell r="J25">
            <v>4362.793011398112</v>
          </cell>
          <cell r="K25">
            <v>0.107142857142857</v>
          </cell>
          <cell r="L25">
            <v>11.999999999999984</v>
          </cell>
          <cell r="M25">
            <v>5719.0942704866511</v>
          </cell>
          <cell r="N25">
            <v>10081.887281884763</v>
          </cell>
        </row>
        <row r="26">
          <cell r="E26">
            <v>2325</v>
          </cell>
          <cell r="F26" t="str">
            <v>Brunswick Community Primary School</v>
          </cell>
          <cell r="G26">
            <v>413</v>
          </cell>
          <cell r="H26">
            <v>0.35351089588377699</v>
          </cell>
          <cell r="I26">
            <v>145.99999999999989</v>
          </cell>
          <cell r="J26">
            <v>53080.648305343719</v>
          </cell>
          <cell r="K26">
            <v>0.37530266343825702</v>
          </cell>
          <cell r="L26">
            <v>155.00000000000014</v>
          </cell>
          <cell r="M26">
            <v>73871.63432711942</v>
          </cell>
          <cell r="N26">
            <v>126952.28263246315</v>
          </cell>
        </row>
        <row r="27">
          <cell r="E27">
            <v>2095</v>
          </cell>
          <cell r="F27" t="str">
            <v>Byron Wood Primary Academy</v>
          </cell>
          <cell r="G27">
            <v>395</v>
          </cell>
          <cell r="H27">
            <v>0.48607594936708898</v>
          </cell>
          <cell r="I27">
            <v>192.00000000000014</v>
          </cell>
          <cell r="J27">
            <v>69804.688182369937</v>
          </cell>
          <cell r="K27">
            <v>0.51392405063291102</v>
          </cell>
          <cell r="L27">
            <v>202.99999999999986</v>
          </cell>
          <cell r="M27">
            <v>96748.011409065919</v>
          </cell>
          <cell r="N27">
            <v>166552.69959143584</v>
          </cell>
        </row>
        <row r="28">
          <cell r="E28">
            <v>2344</v>
          </cell>
          <cell r="F28" t="str">
            <v>Carfield Primary School</v>
          </cell>
          <cell r="G28">
            <v>550</v>
          </cell>
          <cell r="H28">
            <v>0.26</v>
          </cell>
          <cell r="I28">
            <v>143</v>
          </cell>
          <cell r="J28">
            <v>51989.950052494234</v>
          </cell>
          <cell r="K28">
            <v>0.28000000000000003</v>
          </cell>
          <cell r="L28">
            <v>154.00000000000003</v>
          </cell>
          <cell r="M28">
            <v>73395.043137912144</v>
          </cell>
          <cell r="N28">
            <v>125384.99319040639</v>
          </cell>
        </row>
        <row r="29">
          <cell r="E29">
            <v>2023</v>
          </cell>
          <cell r="F29" t="str">
            <v>Carter Knowle Junior School</v>
          </cell>
          <cell r="G29">
            <v>223</v>
          </cell>
          <cell r="H29">
            <v>0.116591928251121</v>
          </cell>
          <cell r="I29">
            <v>25.999999999999982</v>
          </cell>
          <cell r="J29">
            <v>9452.7181913625809</v>
          </cell>
          <cell r="K29">
            <v>0.134529147982063</v>
          </cell>
          <cell r="L29">
            <v>30.00000000000005</v>
          </cell>
          <cell r="M29">
            <v>14297.735676216671</v>
          </cell>
          <cell r="N29">
            <v>23750.45386757925</v>
          </cell>
        </row>
        <row r="30">
          <cell r="E30">
            <v>2354</v>
          </cell>
          <cell r="F30" t="str">
            <v>Charnock Hall Primary Academy</v>
          </cell>
          <cell r="G30">
            <v>401</v>
          </cell>
          <cell r="H30">
            <v>0.19451371571072301</v>
          </cell>
          <cell r="I30">
            <v>77.999999999999929</v>
          </cell>
          <cell r="J30">
            <v>28358.154574087737</v>
          </cell>
          <cell r="K30">
            <v>0.20448877805486301</v>
          </cell>
          <cell r="L30">
            <v>82.000000000000071</v>
          </cell>
          <cell r="M30">
            <v>39080.477514992206</v>
          </cell>
          <cell r="N30">
            <v>67438.63208907994</v>
          </cell>
        </row>
        <row r="31">
          <cell r="E31">
            <v>5200</v>
          </cell>
          <cell r="F31" t="str">
            <v>Clifford All Saints CofE Primary School</v>
          </cell>
          <cell r="G31">
            <v>191</v>
          </cell>
          <cell r="H31">
            <v>0.12041884816753901</v>
          </cell>
          <cell r="I31">
            <v>22.99999999999995</v>
          </cell>
          <cell r="J31">
            <v>8362.01993851304</v>
          </cell>
          <cell r="K31">
            <v>0.13612565445026201</v>
          </cell>
          <cell r="L31">
            <v>26.000000000000043</v>
          </cell>
          <cell r="M31">
            <v>12391.370919387782</v>
          </cell>
          <cell r="N31">
            <v>20753.39085790082</v>
          </cell>
        </row>
        <row r="32">
          <cell r="E32">
            <v>2312</v>
          </cell>
          <cell r="F32" t="str">
            <v>Coit Primary School</v>
          </cell>
          <cell r="G32">
            <v>201</v>
          </cell>
          <cell r="H32">
            <v>0.124378109452736</v>
          </cell>
          <cell r="I32">
            <v>24.999999999999936</v>
          </cell>
          <cell r="J32">
            <v>9089.1521070793879</v>
          </cell>
          <cell r="K32">
            <v>0.13930348258706499</v>
          </cell>
          <cell r="L32">
            <v>28.000000000000064</v>
          </cell>
          <cell r="M32">
            <v>13344.553297802235</v>
          </cell>
          <cell r="N32">
            <v>22433.705404881621</v>
          </cell>
        </row>
        <row r="33">
          <cell r="E33">
            <v>2026</v>
          </cell>
          <cell r="F33" t="str">
            <v>Concord Junior School</v>
          </cell>
          <cell r="G33">
            <v>190</v>
          </cell>
          <cell r="H33">
            <v>0.51052631578947405</v>
          </cell>
          <cell r="I33">
            <v>97.000000000000071</v>
          </cell>
          <cell r="J33">
            <v>35265.91017546814</v>
          </cell>
          <cell r="K33">
            <v>0.53684210526315801</v>
          </cell>
          <cell r="L33">
            <v>102.00000000000003</v>
          </cell>
          <cell r="M33">
            <v>48612.301299136612</v>
          </cell>
          <cell r="N33">
            <v>83878.211474604759</v>
          </cell>
        </row>
        <row r="34">
          <cell r="E34">
            <v>3422</v>
          </cell>
          <cell r="F34" t="str">
            <v>Deepcar St John's Church of England Junior School</v>
          </cell>
          <cell r="G34">
            <v>166</v>
          </cell>
          <cell r="H34">
            <v>0.180722891566265</v>
          </cell>
          <cell r="I34">
            <v>29.999999999999989</v>
          </cell>
          <cell r="J34">
            <v>10906.982528495289</v>
          </cell>
          <cell r="K34">
            <v>0.22891566265060201</v>
          </cell>
          <cell r="L34">
            <v>37.999999999999936</v>
          </cell>
          <cell r="M34">
            <v>18110.46518987439</v>
          </cell>
          <cell r="N34">
            <v>29017.44771836968</v>
          </cell>
        </row>
        <row r="35">
          <cell r="E35">
            <v>2283</v>
          </cell>
          <cell r="F35" t="str">
            <v>Dobcroft Infant School</v>
          </cell>
          <cell r="G35">
            <v>270</v>
          </cell>
          <cell r="H35">
            <v>2.5925925925925901E-2</v>
          </cell>
          <cell r="I35">
            <v>6.9999999999999929</v>
          </cell>
          <cell r="J35">
            <v>2544.9625899822327</v>
          </cell>
          <cell r="K35">
            <v>2.5925925925925901E-2</v>
          </cell>
          <cell r="L35">
            <v>6.9999999999999929</v>
          </cell>
          <cell r="M35">
            <v>3336.1383244505478</v>
          </cell>
          <cell r="N35">
            <v>5881.10091443278</v>
          </cell>
        </row>
        <row r="36">
          <cell r="E36">
            <v>2239</v>
          </cell>
          <cell r="F36" t="str">
            <v>Dobcroft Junior School</v>
          </cell>
          <cell r="G36">
            <v>419</v>
          </cell>
          <cell r="H36">
            <v>5.4892601431980902E-2</v>
          </cell>
          <cell r="I36">
            <v>22.999999999999996</v>
          </cell>
          <cell r="J36">
            <v>8362.0199385130563</v>
          </cell>
          <cell r="K36">
            <v>6.2052505966587103E-2</v>
          </cell>
          <cell r="L36">
            <v>25.999999999999996</v>
          </cell>
          <cell r="M36">
            <v>12391.37091938776</v>
          </cell>
          <cell r="N36">
            <v>20753.390857900817</v>
          </cell>
        </row>
        <row r="37">
          <cell r="E37">
            <v>2364</v>
          </cell>
          <cell r="F37" t="str">
            <v>Dore Primary School</v>
          </cell>
          <cell r="G37">
            <v>446</v>
          </cell>
          <cell r="H37">
            <v>6.7264573991031404E-2</v>
          </cell>
          <cell r="I37">
            <v>30.000000000000007</v>
          </cell>
          <cell r="J37">
            <v>10906.982528495297</v>
          </cell>
          <cell r="K37">
            <v>6.9506726457399096E-2</v>
          </cell>
          <cell r="L37">
            <v>30.999999999999996</v>
          </cell>
          <cell r="M37">
            <v>14774.326865423867</v>
          </cell>
          <cell r="N37">
            <v>25681.309393919164</v>
          </cell>
        </row>
        <row r="38">
          <cell r="E38">
            <v>2016</v>
          </cell>
          <cell r="F38" t="str">
            <v>E-ACT Pathways Academy</v>
          </cell>
          <cell r="G38">
            <v>350</v>
          </cell>
          <cell r="H38">
            <v>0.56571428571428595</v>
          </cell>
          <cell r="I38">
            <v>198.00000000000009</v>
          </cell>
          <cell r="J38">
            <v>71986.084688068964</v>
          </cell>
          <cell r="K38">
            <v>0.58857142857142897</v>
          </cell>
          <cell r="L38">
            <v>206.00000000000014</v>
          </cell>
          <cell r="M38">
            <v>98177.784976687719</v>
          </cell>
          <cell r="N38">
            <v>170163.8696647567</v>
          </cell>
        </row>
        <row r="39">
          <cell r="E39">
            <v>2206</v>
          </cell>
          <cell r="F39" t="str">
            <v>Ecclesall Primary School</v>
          </cell>
          <cell r="G39">
            <v>601</v>
          </cell>
          <cell r="H39">
            <v>4.3261231281198E-2</v>
          </cell>
          <cell r="I39">
            <v>25.999999999999996</v>
          </cell>
          <cell r="J39">
            <v>9452.7181913625864</v>
          </cell>
          <cell r="K39">
            <v>4.9916805324459197E-2</v>
          </cell>
          <cell r="L39">
            <v>29.999999999999979</v>
          </cell>
          <cell r="M39">
            <v>14297.735676216638</v>
          </cell>
          <cell r="N39">
            <v>23750.453867579225</v>
          </cell>
        </row>
        <row r="40">
          <cell r="E40">
            <v>2080</v>
          </cell>
          <cell r="F40" t="str">
            <v>Ecclesfield Primary School</v>
          </cell>
          <cell r="G40">
            <v>392</v>
          </cell>
          <cell r="H40">
            <v>0.272959183673469</v>
          </cell>
          <cell r="I40">
            <v>106.99999999999984</v>
          </cell>
          <cell r="J40">
            <v>38901.571018299823</v>
          </cell>
          <cell r="K40">
            <v>0.29081632653061201</v>
          </cell>
          <cell r="L40">
            <v>113.99999999999991</v>
          </cell>
          <cell r="M40">
            <v>54331.395569623222</v>
          </cell>
          <cell r="N40">
            <v>93232.966587923045</v>
          </cell>
        </row>
        <row r="41">
          <cell r="E41">
            <v>2024</v>
          </cell>
          <cell r="F41" t="str">
            <v>Emmanuel Anglican/Methodist Junior School</v>
          </cell>
          <cell r="G41">
            <v>187</v>
          </cell>
          <cell r="H41">
            <v>0.33155080213903698</v>
          </cell>
          <cell r="I41">
            <v>61.999999999999915</v>
          </cell>
          <cell r="J41">
            <v>22541.09722555691</v>
          </cell>
          <cell r="K41">
            <v>0.36363636363636398</v>
          </cell>
          <cell r="L41">
            <v>68.000000000000071</v>
          </cell>
          <cell r="M41">
            <v>32408.200866091101</v>
          </cell>
          <cell r="N41">
            <v>54949.298091648016</v>
          </cell>
        </row>
        <row r="42">
          <cell r="E42">
            <v>2028</v>
          </cell>
          <cell r="F42" t="str">
            <v>Emmaus Catholic and CofE Primary School</v>
          </cell>
          <cell r="G42">
            <v>296</v>
          </cell>
          <cell r="H42">
            <v>0.445945945945946</v>
          </cell>
          <cell r="I42">
            <v>132.00000000000003</v>
          </cell>
          <cell r="J42">
            <v>47990.7231253793</v>
          </cell>
          <cell r="K42">
            <v>0.47972972972972999</v>
          </cell>
          <cell r="L42">
            <v>142.00000000000009</v>
          </cell>
          <cell r="M42">
            <v>67675.948867425512</v>
          </cell>
          <cell r="N42">
            <v>115666.67199280481</v>
          </cell>
        </row>
        <row r="43">
          <cell r="E43">
            <v>2010</v>
          </cell>
          <cell r="F43" t="str">
            <v>Fox Hill Primary</v>
          </cell>
          <cell r="G43">
            <v>291</v>
          </cell>
          <cell r="H43">
            <v>0.536082474226804</v>
          </cell>
          <cell r="I43">
            <v>155.99999999999997</v>
          </cell>
          <cell r="J43">
            <v>56716.309148175518</v>
          </cell>
          <cell r="K43">
            <v>0.54982817869415801</v>
          </cell>
          <cell r="L43">
            <v>159.99999999999997</v>
          </cell>
          <cell r="M43">
            <v>76254.590273155438</v>
          </cell>
          <cell r="N43">
            <v>132970.89942133095</v>
          </cell>
        </row>
        <row r="44">
          <cell r="E44">
            <v>2036</v>
          </cell>
          <cell r="F44" t="str">
            <v>Gleadless Primary School</v>
          </cell>
          <cell r="G44">
            <v>393</v>
          </cell>
          <cell r="H44">
            <v>0.29516539440203599</v>
          </cell>
          <cell r="I44">
            <v>116.00000000000014</v>
          </cell>
          <cell r="J44">
            <v>42173.665776848517</v>
          </cell>
          <cell r="K44">
            <v>0.31043256997455498</v>
          </cell>
          <cell r="L44">
            <v>122.00000000000011</v>
          </cell>
          <cell r="M44">
            <v>58144.125083281091</v>
          </cell>
          <cell r="N44">
            <v>100317.79086012961</v>
          </cell>
        </row>
        <row r="45">
          <cell r="E45">
            <v>2305</v>
          </cell>
          <cell r="F45" t="str">
            <v>Greengate Lane Academy</v>
          </cell>
          <cell r="G45">
            <v>187</v>
          </cell>
          <cell r="H45">
            <v>0.50802139037433203</v>
          </cell>
          <cell r="I45">
            <v>95.000000000000085</v>
          </cell>
          <cell r="J45">
            <v>34538.778006901797</v>
          </cell>
          <cell r="K45">
            <v>0.54010695187165803</v>
          </cell>
          <cell r="L45">
            <v>101.00000000000006</v>
          </cell>
          <cell r="M45">
            <v>48135.710109929409</v>
          </cell>
          <cell r="N45">
            <v>82674.488116831199</v>
          </cell>
        </row>
        <row r="46">
          <cell r="E46">
            <v>2341</v>
          </cell>
          <cell r="F46" t="str">
            <v>Greenhill Primary School</v>
          </cell>
          <cell r="G46">
            <v>466</v>
          </cell>
          <cell r="H46">
            <v>0.31759656652360502</v>
          </cell>
          <cell r="I46">
            <v>147.99999999999994</v>
          </cell>
          <cell r="J46">
            <v>53807.780473910097</v>
          </cell>
          <cell r="K46">
            <v>0.32403433476394899</v>
          </cell>
          <cell r="L46">
            <v>151.00000000000023</v>
          </cell>
          <cell r="M46">
            <v>71965.269570290562</v>
          </cell>
          <cell r="N46">
            <v>125773.05004420066</v>
          </cell>
        </row>
        <row r="47">
          <cell r="E47">
            <v>2296</v>
          </cell>
          <cell r="F47" t="str">
            <v>Grenoside Community Primary School</v>
          </cell>
          <cell r="G47">
            <v>314</v>
          </cell>
          <cell r="H47">
            <v>0.210191082802548</v>
          </cell>
          <cell r="I47">
            <v>66.000000000000071</v>
          </cell>
          <cell r="J47">
            <v>23995.361562689672</v>
          </cell>
          <cell r="K47">
            <v>0.226114649681529</v>
          </cell>
          <cell r="L47">
            <v>71.000000000000099</v>
          </cell>
          <cell r="M47">
            <v>33837.974433712778</v>
          </cell>
          <cell r="N47">
            <v>57833.335996402449</v>
          </cell>
        </row>
        <row r="48">
          <cell r="E48">
            <v>2356</v>
          </cell>
          <cell r="F48" t="str">
            <v>Greystones Primary School</v>
          </cell>
          <cell r="G48">
            <v>625</v>
          </cell>
          <cell r="H48">
            <v>6.08E-2</v>
          </cell>
          <cell r="I48">
            <v>38</v>
          </cell>
          <cell r="J48">
            <v>13815.511202760705</v>
          </cell>
          <cell r="K48">
            <v>6.7199999999999996E-2</v>
          </cell>
          <cell r="L48">
            <v>42</v>
          </cell>
          <cell r="M48">
            <v>20016.829946703307</v>
          </cell>
          <cell r="N48">
            <v>33832.34114946401</v>
          </cell>
        </row>
        <row r="49">
          <cell r="E49">
            <v>2279</v>
          </cell>
          <cell r="F49" t="str">
            <v>Halfway Junior School</v>
          </cell>
          <cell r="G49">
            <v>211</v>
          </cell>
          <cell r="H49">
            <v>0.21800947867298601</v>
          </cell>
          <cell r="I49">
            <v>46.00000000000005</v>
          </cell>
          <cell r="J49">
            <v>16724.039877026134</v>
          </cell>
          <cell r="K49">
            <v>0.23696682464454999</v>
          </cell>
          <cell r="L49">
            <v>50.00000000000005</v>
          </cell>
          <cell r="M49">
            <v>23829.559460361103</v>
          </cell>
          <cell r="N49">
            <v>40553.599337387233</v>
          </cell>
        </row>
        <row r="50">
          <cell r="E50">
            <v>2252</v>
          </cell>
          <cell r="F50" t="str">
            <v>Halfway Nursery Infant School</v>
          </cell>
          <cell r="G50">
            <v>156</v>
          </cell>
          <cell r="H50">
            <v>0.30769230769230799</v>
          </cell>
          <cell r="I50">
            <v>48.000000000000043</v>
          </cell>
          <cell r="J50">
            <v>17451.172045592484</v>
          </cell>
          <cell r="K50">
            <v>0.30769230769230799</v>
          </cell>
          <cell r="L50">
            <v>48.000000000000043</v>
          </cell>
          <cell r="M50">
            <v>22876.377081946655</v>
          </cell>
          <cell r="N50">
            <v>40327.54912753914</v>
          </cell>
        </row>
        <row r="51">
          <cell r="E51">
            <v>2357</v>
          </cell>
          <cell r="F51" t="str">
            <v>Hallam Primary School</v>
          </cell>
          <cell r="G51">
            <v>624</v>
          </cell>
          <cell r="H51">
            <v>7.3717948717948706E-2</v>
          </cell>
          <cell r="I51">
            <v>45.999999999999993</v>
          </cell>
          <cell r="J51">
            <v>16724.039877026113</v>
          </cell>
          <cell r="K51">
            <v>7.3717948717948706E-2</v>
          </cell>
          <cell r="L51">
            <v>45.999999999999993</v>
          </cell>
          <cell r="M51">
            <v>21923.19470353219</v>
          </cell>
          <cell r="N51">
            <v>38647.234580558303</v>
          </cell>
        </row>
        <row r="52">
          <cell r="E52">
            <v>2050</v>
          </cell>
          <cell r="F52" t="str">
            <v>Hartley Brook Primary School</v>
          </cell>
          <cell r="G52">
            <v>594</v>
          </cell>
          <cell r="H52">
            <v>0.54713804713804703</v>
          </cell>
          <cell r="I52">
            <v>324.99999999999994</v>
          </cell>
          <cell r="J52">
            <v>118158.97739203232</v>
          </cell>
          <cell r="K52">
            <v>0.57912457912457904</v>
          </cell>
          <cell r="L52">
            <v>343.99999999999994</v>
          </cell>
          <cell r="M52">
            <v>163947.3690872842</v>
          </cell>
          <cell r="N52">
            <v>282106.34647931653</v>
          </cell>
        </row>
        <row r="53">
          <cell r="E53">
            <v>2049</v>
          </cell>
          <cell r="F53" t="str">
            <v>Hatfield Academy</v>
          </cell>
          <cell r="G53">
            <v>371</v>
          </cell>
          <cell r="H53">
            <v>0.55795148247978399</v>
          </cell>
          <cell r="I53">
            <v>206.99999999999986</v>
          </cell>
          <cell r="J53">
            <v>75258.179446617476</v>
          </cell>
          <cell r="K53">
            <v>0.58221024258760101</v>
          </cell>
          <cell r="L53">
            <v>215.99999999999997</v>
          </cell>
          <cell r="M53">
            <v>102943.69686875986</v>
          </cell>
          <cell r="N53">
            <v>178201.87631537733</v>
          </cell>
        </row>
        <row r="54">
          <cell r="E54">
            <v>2297</v>
          </cell>
          <cell r="F54" t="str">
            <v>High Green Primary School</v>
          </cell>
          <cell r="G54">
            <v>199</v>
          </cell>
          <cell r="H54">
            <v>0.135678391959799</v>
          </cell>
          <cell r="I54">
            <v>27</v>
          </cell>
          <cell r="J54">
            <v>9816.2842756457649</v>
          </cell>
          <cell r="K54">
            <v>0.14070351758794</v>
          </cell>
          <cell r="L54">
            <v>28.00000000000006</v>
          </cell>
          <cell r="M54">
            <v>13344.553297802233</v>
          </cell>
          <cell r="N54">
            <v>23160.837573448</v>
          </cell>
        </row>
        <row r="55">
          <cell r="E55">
            <v>2042</v>
          </cell>
          <cell r="F55" t="str">
            <v>High Hazels Junior School</v>
          </cell>
          <cell r="G55">
            <v>351</v>
          </cell>
          <cell r="H55">
            <v>0.421652421652422</v>
          </cell>
          <cell r="I55">
            <v>148.00000000000011</v>
          </cell>
          <cell r="J55">
            <v>53807.780473910156</v>
          </cell>
          <cell r="K55">
            <v>0.43874643874643898</v>
          </cell>
          <cell r="L55">
            <v>154.00000000000009</v>
          </cell>
          <cell r="M55">
            <v>73395.043137912158</v>
          </cell>
          <cell r="N55">
            <v>127202.82361182231</v>
          </cell>
        </row>
        <row r="56">
          <cell r="E56">
            <v>2039</v>
          </cell>
          <cell r="F56" t="str">
            <v>High Hazels Nursery Infant Academy</v>
          </cell>
          <cell r="G56">
            <v>229</v>
          </cell>
          <cell r="H56">
            <v>0.38427947598253298</v>
          </cell>
          <cell r="I56">
            <v>88.000000000000057</v>
          </cell>
          <cell r="J56">
            <v>31993.815416919548</v>
          </cell>
          <cell r="K56">
            <v>0.38427947598253298</v>
          </cell>
          <cell r="L56">
            <v>88.000000000000057</v>
          </cell>
          <cell r="M56">
            <v>41940.024650235529</v>
          </cell>
          <cell r="N56">
            <v>73933.840067155077</v>
          </cell>
        </row>
        <row r="57">
          <cell r="E57">
            <v>2339</v>
          </cell>
          <cell r="F57" t="str">
            <v>Hillsborough Primary School</v>
          </cell>
          <cell r="G57">
            <v>347</v>
          </cell>
          <cell r="H57">
            <v>0.40922190201729097</v>
          </cell>
          <cell r="I57">
            <v>141.99999999999997</v>
          </cell>
          <cell r="J57">
            <v>51626.383968211048</v>
          </cell>
          <cell r="K57">
            <v>0.438040345821326</v>
          </cell>
          <cell r="L57">
            <v>152.00000000000011</v>
          </cell>
          <cell r="M57">
            <v>72441.860759497737</v>
          </cell>
          <cell r="N57">
            <v>124068.24472770878</v>
          </cell>
        </row>
        <row r="58">
          <cell r="E58">
            <v>2213</v>
          </cell>
          <cell r="F58" t="str">
            <v>Holt House Infant School</v>
          </cell>
          <cell r="G58">
            <v>179</v>
          </cell>
          <cell r="H58">
            <v>0.122905027932961</v>
          </cell>
          <cell r="I58">
            <v>22.000000000000018</v>
          </cell>
          <cell r="J58">
            <v>7998.4538542298887</v>
          </cell>
          <cell r="K58">
            <v>0.122905027932961</v>
          </cell>
          <cell r="L58">
            <v>22.000000000000018</v>
          </cell>
          <cell r="M58">
            <v>10485.006162558884</v>
          </cell>
          <cell r="N58">
            <v>18483.460016788773</v>
          </cell>
        </row>
        <row r="59">
          <cell r="E59">
            <v>2337</v>
          </cell>
          <cell r="F59" t="str">
            <v>Hucklow Primary School</v>
          </cell>
          <cell r="G59">
            <v>413</v>
          </cell>
          <cell r="H59">
            <v>0.45762711864406802</v>
          </cell>
          <cell r="I59">
            <v>189.00000000000009</v>
          </cell>
          <cell r="J59">
            <v>68713.98992952038</v>
          </cell>
          <cell r="K59">
            <v>0.47457627118644102</v>
          </cell>
          <cell r="L59">
            <v>196.00000000000014</v>
          </cell>
          <cell r="M59">
            <v>93411.873084615494</v>
          </cell>
          <cell r="N59">
            <v>162125.86301413586</v>
          </cell>
        </row>
        <row r="60">
          <cell r="E60">
            <v>2060</v>
          </cell>
          <cell r="F60" t="str">
            <v>Hunter's Bar Infant School</v>
          </cell>
          <cell r="G60">
            <v>267</v>
          </cell>
          <cell r="H60">
            <v>8.98876404494382E-2</v>
          </cell>
          <cell r="I60">
            <v>24</v>
          </cell>
          <cell r="J60">
            <v>8725.5860227962348</v>
          </cell>
          <cell r="K60">
            <v>8.98876404494382E-2</v>
          </cell>
          <cell r="L60">
            <v>24</v>
          </cell>
          <cell r="M60">
            <v>11438.188540973319</v>
          </cell>
          <cell r="N60">
            <v>20163.774563769555</v>
          </cell>
        </row>
        <row r="61">
          <cell r="E61">
            <v>2058</v>
          </cell>
          <cell r="F61" t="str">
            <v>Hunter's Bar Junior School</v>
          </cell>
          <cell r="G61">
            <v>362</v>
          </cell>
          <cell r="H61">
            <v>0.14088397790055199</v>
          </cell>
          <cell r="I61">
            <v>50.999999999999822</v>
          </cell>
          <cell r="J61">
            <v>18541.870298441936</v>
          </cell>
          <cell r="K61">
            <v>0.143646408839779</v>
          </cell>
          <cell r="L61">
            <v>52</v>
          </cell>
          <cell r="M61">
            <v>24782.741838775524</v>
          </cell>
          <cell r="N61">
            <v>43324.61213721746</v>
          </cell>
        </row>
        <row r="62">
          <cell r="E62">
            <v>2063</v>
          </cell>
          <cell r="F62" t="str">
            <v>Intake Primary School</v>
          </cell>
          <cell r="G62">
            <v>409</v>
          </cell>
          <cell r="H62">
            <v>0.26161369193153999</v>
          </cell>
          <cell r="I62">
            <v>106.99999999999986</v>
          </cell>
          <cell r="J62">
            <v>38901.57101829983</v>
          </cell>
          <cell r="K62">
            <v>0.27628361858190698</v>
          </cell>
          <cell r="L62">
            <v>112.99999999999996</v>
          </cell>
          <cell r="M62">
            <v>53854.804380416019</v>
          </cell>
          <cell r="N62">
            <v>92756.375398715842</v>
          </cell>
        </row>
        <row r="63">
          <cell r="E63">
            <v>2261</v>
          </cell>
          <cell r="F63" t="str">
            <v>Limpsfield Junior School</v>
          </cell>
          <cell r="G63">
            <v>235</v>
          </cell>
          <cell r="H63">
            <v>0.31489361702127699</v>
          </cell>
          <cell r="I63">
            <v>74.000000000000099</v>
          </cell>
          <cell r="J63">
            <v>26903.890236955092</v>
          </cell>
          <cell r="K63">
            <v>0.34468085106383001</v>
          </cell>
          <cell r="L63">
            <v>81.000000000000057</v>
          </cell>
          <cell r="M63">
            <v>38603.886325784973</v>
          </cell>
          <cell r="N63">
            <v>65507.776562740066</v>
          </cell>
        </row>
        <row r="64">
          <cell r="E64">
            <v>2315</v>
          </cell>
          <cell r="F64" t="str">
            <v>Lound Infant School</v>
          </cell>
          <cell r="G64">
            <v>145</v>
          </cell>
          <cell r="H64">
            <v>0.11034482758620701</v>
          </cell>
          <cell r="I64">
            <v>16.000000000000014</v>
          </cell>
          <cell r="J64">
            <v>5817.0573485308287</v>
          </cell>
          <cell r="K64">
            <v>0.11034482758620701</v>
          </cell>
          <cell r="L64">
            <v>16.000000000000014</v>
          </cell>
          <cell r="M64">
            <v>7625.4590273155518</v>
          </cell>
          <cell r="N64">
            <v>13442.51637584638</v>
          </cell>
        </row>
        <row r="65">
          <cell r="E65">
            <v>2298</v>
          </cell>
          <cell r="F65" t="str">
            <v>Lound Junior School</v>
          </cell>
          <cell r="G65">
            <v>209</v>
          </cell>
          <cell r="H65">
            <v>0.11004784688995201</v>
          </cell>
          <cell r="I65">
            <v>22.999999999999968</v>
          </cell>
          <cell r="J65">
            <v>8362.0199385130472</v>
          </cell>
          <cell r="K65">
            <v>0.11483253588516699</v>
          </cell>
          <cell r="L65">
            <v>23.999999999999901</v>
          </cell>
          <cell r="M65">
            <v>11438.188540973271</v>
          </cell>
          <cell r="N65">
            <v>19800.208479486319</v>
          </cell>
        </row>
        <row r="66">
          <cell r="E66">
            <v>2029</v>
          </cell>
          <cell r="F66" t="str">
            <v>Lowedges Junior Academy</v>
          </cell>
          <cell r="G66">
            <v>302</v>
          </cell>
          <cell r="H66">
            <v>0.67218543046357604</v>
          </cell>
          <cell r="I66">
            <v>202.99999999999997</v>
          </cell>
          <cell r="J66">
            <v>73803.915109484806</v>
          </cell>
          <cell r="K66">
            <v>0.69205298013244998</v>
          </cell>
          <cell r="L66">
            <v>208.99999999999989</v>
          </cell>
          <cell r="M66">
            <v>99607.558544309257</v>
          </cell>
          <cell r="N66">
            <v>173411.47365379406</v>
          </cell>
        </row>
        <row r="67">
          <cell r="E67">
            <v>2045</v>
          </cell>
          <cell r="F67" t="str">
            <v>Lower Meadow Primary School</v>
          </cell>
          <cell r="G67">
            <v>249</v>
          </cell>
          <cell r="H67">
            <v>0.69076305220883505</v>
          </cell>
          <cell r="I67">
            <v>171.99999999999991</v>
          </cell>
          <cell r="J67">
            <v>62533.366496706316</v>
          </cell>
          <cell r="K67">
            <v>0.70281124497991998</v>
          </cell>
          <cell r="L67">
            <v>175.00000000000009</v>
          </cell>
          <cell r="M67">
            <v>83403.458111263812</v>
          </cell>
          <cell r="N67">
            <v>145936.82460797013</v>
          </cell>
        </row>
        <row r="68">
          <cell r="E68">
            <v>2070</v>
          </cell>
          <cell r="F68" t="str">
            <v>Lowfield Community Primary School</v>
          </cell>
          <cell r="G68">
            <v>365</v>
          </cell>
          <cell r="H68">
            <v>0.4</v>
          </cell>
          <cell r="I68">
            <v>146</v>
          </cell>
          <cell r="J68">
            <v>53080.648305343762</v>
          </cell>
          <cell r="K68">
            <v>0.43561643835616398</v>
          </cell>
          <cell r="L68">
            <v>158.99999999999986</v>
          </cell>
          <cell r="M68">
            <v>75777.999083948162</v>
          </cell>
          <cell r="N68">
            <v>128858.64738929193</v>
          </cell>
        </row>
        <row r="69">
          <cell r="E69">
            <v>2292</v>
          </cell>
          <cell r="F69" t="str">
            <v>Loxley Primary School</v>
          </cell>
          <cell r="G69">
            <v>209</v>
          </cell>
          <cell r="H69">
            <v>9.0909090909090898E-2</v>
          </cell>
          <cell r="I69">
            <v>18.999999999999996</v>
          </cell>
          <cell r="J69">
            <v>6907.7556013803514</v>
          </cell>
          <cell r="K69">
            <v>9.5693779904306206E-2</v>
          </cell>
          <cell r="L69">
            <v>19.999999999999996</v>
          </cell>
          <cell r="M69">
            <v>9531.8237841444297</v>
          </cell>
          <cell r="N69">
            <v>16439.579385524783</v>
          </cell>
        </row>
        <row r="70">
          <cell r="E70">
            <v>2072</v>
          </cell>
          <cell r="F70" t="str">
            <v>Lydgate Infant School</v>
          </cell>
          <cell r="G70">
            <v>356</v>
          </cell>
          <cell r="H70">
            <v>8.7078651685393305E-2</v>
          </cell>
          <cell r="I70">
            <v>31.000000000000018</v>
          </cell>
          <cell r="J70">
            <v>11270.548612778477</v>
          </cell>
          <cell r="K70">
            <v>8.98876404494382E-2</v>
          </cell>
          <cell r="L70">
            <v>32</v>
          </cell>
          <cell r="M70">
            <v>15250.918054631091</v>
          </cell>
          <cell r="N70">
            <v>26521.466667409568</v>
          </cell>
        </row>
        <row r="71">
          <cell r="E71">
            <v>2071</v>
          </cell>
          <cell r="F71" t="str">
            <v>Lydgate Junior School</v>
          </cell>
          <cell r="G71">
            <v>475</v>
          </cell>
          <cell r="H71">
            <v>0.105263157894737</v>
          </cell>
          <cell r="I71">
            <v>50.000000000000078</v>
          </cell>
          <cell r="J71">
            <v>18178.304214158852</v>
          </cell>
          <cell r="K71">
            <v>0.115789473684211</v>
          </cell>
          <cell r="L71">
            <v>55.00000000000022</v>
          </cell>
          <cell r="M71">
            <v>26212.515406397291</v>
          </cell>
          <cell r="N71">
            <v>44390.81962055614</v>
          </cell>
        </row>
        <row r="72">
          <cell r="E72">
            <v>2358</v>
          </cell>
          <cell r="F72" t="str">
            <v>Malin Bridge Primary School</v>
          </cell>
          <cell r="G72">
            <v>522</v>
          </cell>
          <cell r="H72">
            <v>0.18965517241379301</v>
          </cell>
          <cell r="I72">
            <v>98.999999999999957</v>
          </cell>
          <cell r="J72">
            <v>35993.042344034453</v>
          </cell>
          <cell r="K72">
            <v>0.195402298850575</v>
          </cell>
          <cell r="L72">
            <v>102.00000000000016</v>
          </cell>
          <cell r="M72">
            <v>48612.301299136678</v>
          </cell>
          <cell r="N72">
            <v>84605.343643171131</v>
          </cell>
        </row>
        <row r="73">
          <cell r="E73">
            <v>2359</v>
          </cell>
          <cell r="F73" t="str">
            <v>Manor Lodge Community Primary and Nursery School</v>
          </cell>
          <cell r="G73">
            <v>319</v>
          </cell>
          <cell r="H73">
            <v>0.51724137931034497</v>
          </cell>
          <cell r="I73">
            <v>165.00000000000006</v>
          </cell>
          <cell r="J73">
            <v>59988.403906724132</v>
          </cell>
          <cell r="K73">
            <v>0.54545454545454497</v>
          </cell>
          <cell r="L73">
            <v>173.99999999999986</v>
          </cell>
          <cell r="M73">
            <v>82926.866922056492</v>
          </cell>
          <cell r="N73">
            <v>142915.27082878063</v>
          </cell>
        </row>
        <row r="74">
          <cell r="E74">
            <v>2012</v>
          </cell>
          <cell r="F74" t="str">
            <v>Mansel Primary</v>
          </cell>
          <cell r="G74">
            <v>385</v>
          </cell>
          <cell r="H74">
            <v>0.54285714285714304</v>
          </cell>
          <cell r="I74">
            <v>209.00000000000006</v>
          </cell>
          <cell r="J74">
            <v>75985.311615183906</v>
          </cell>
          <cell r="K74">
            <v>0.574025974025974</v>
          </cell>
          <cell r="L74">
            <v>221</v>
          </cell>
          <cell r="M74">
            <v>105326.65281479598</v>
          </cell>
          <cell r="N74">
            <v>181311.96442997988</v>
          </cell>
        </row>
        <row r="75">
          <cell r="E75">
            <v>2079</v>
          </cell>
          <cell r="F75" t="str">
            <v>Marlcliffe Community Primary School</v>
          </cell>
          <cell r="G75">
            <v>509</v>
          </cell>
          <cell r="H75">
            <v>0.13359528487229899</v>
          </cell>
          <cell r="I75">
            <v>68.000000000000185</v>
          </cell>
          <cell r="J75">
            <v>24722.493731256065</v>
          </cell>
          <cell r="K75">
            <v>0.151277013752456</v>
          </cell>
          <cell r="L75">
            <v>77.000000000000099</v>
          </cell>
          <cell r="M75">
            <v>36697.521568956108</v>
          </cell>
          <cell r="N75">
            <v>61420.015300212173</v>
          </cell>
        </row>
        <row r="76">
          <cell r="E76">
            <v>2081</v>
          </cell>
          <cell r="F76" t="str">
            <v>Meersbrook Bank Primary School</v>
          </cell>
          <cell r="G76">
            <v>200</v>
          </cell>
          <cell r="H76">
            <v>0.12</v>
          </cell>
          <cell r="I76">
            <v>24</v>
          </cell>
          <cell r="J76">
            <v>8725.5860227962348</v>
          </cell>
          <cell r="K76">
            <v>0.12</v>
          </cell>
          <cell r="L76">
            <v>24</v>
          </cell>
          <cell r="M76">
            <v>11438.188540973319</v>
          </cell>
          <cell r="N76">
            <v>20163.774563769555</v>
          </cell>
        </row>
        <row r="77">
          <cell r="E77">
            <v>2013</v>
          </cell>
          <cell r="F77" t="str">
            <v>Meynell Community Primary School</v>
          </cell>
          <cell r="G77">
            <v>361</v>
          </cell>
          <cell r="H77">
            <v>0.69529085872576202</v>
          </cell>
          <cell r="I77">
            <v>251.00000000000009</v>
          </cell>
          <cell r="J77">
            <v>91255.087155077315</v>
          </cell>
          <cell r="K77">
            <v>0.72022160664819901</v>
          </cell>
          <cell r="L77">
            <v>259.99999999999983</v>
          </cell>
          <cell r="M77">
            <v>123913.70919387753</v>
          </cell>
          <cell r="N77">
            <v>215168.79634895484</v>
          </cell>
        </row>
        <row r="78">
          <cell r="E78">
            <v>2346</v>
          </cell>
          <cell r="F78" t="str">
            <v>Monteney Primary School</v>
          </cell>
          <cell r="G78">
            <v>400</v>
          </cell>
          <cell r="H78">
            <v>0.31</v>
          </cell>
          <cell r="I78">
            <v>124</v>
          </cell>
          <cell r="J78">
            <v>45082.194451113879</v>
          </cell>
          <cell r="K78">
            <v>0.33250000000000002</v>
          </cell>
          <cell r="L78">
            <v>133</v>
          </cell>
          <cell r="M78">
            <v>63386.628164560469</v>
          </cell>
          <cell r="N78">
            <v>108468.82261567435</v>
          </cell>
        </row>
        <row r="79">
          <cell r="E79">
            <v>2257</v>
          </cell>
          <cell r="F79" t="str">
            <v>Mosborough Primary School</v>
          </cell>
          <cell r="G79">
            <v>410</v>
          </cell>
          <cell r="H79">
            <v>0.151219512195122</v>
          </cell>
          <cell r="I79">
            <v>62.000000000000021</v>
          </cell>
          <cell r="J79">
            <v>22541.097225556947</v>
          </cell>
          <cell r="K79">
            <v>0.151219512195122</v>
          </cell>
          <cell r="L79">
            <v>62.000000000000021</v>
          </cell>
          <cell r="M79">
            <v>29548.653730847749</v>
          </cell>
          <cell r="N79">
            <v>52089.750956404692</v>
          </cell>
        </row>
        <row r="80">
          <cell r="E80">
            <v>2092</v>
          </cell>
          <cell r="F80" t="str">
            <v>Mundella Primary School</v>
          </cell>
          <cell r="G80">
            <v>420</v>
          </cell>
          <cell r="H80">
            <v>0.13809523809523799</v>
          </cell>
          <cell r="I80">
            <v>57.999999999999957</v>
          </cell>
          <cell r="J80">
            <v>21086.832888424218</v>
          </cell>
          <cell r="K80">
            <v>0.145238095238095</v>
          </cell>
          <cell r="L80">
            <v>60.999999999999901</v>
          </cell>
          <cell r="M80">
            <v>29072.062541640469</v>
          </cell>
          <cell r="N80">
            <v>50158.895430064687</v>
          </cell>
        </row>
        <row r="81">
          <cell r="E81">
            <v>2002</v>
          </cell>
          <cell r="F81" t="str">
            <v>Nether Edge Primary School</v>
          </cell>
          <cell r="G81">
            <v>404</v>
          </cell>
          <cell r="H81">
            <v>0.25247524752475198</v>
          </cell>
          <cell r="I81">
            <v>101.9999999999998</v>
          </cell>
          <cell r="J81">
            <v>37083.740596883923</v>
          </cell>
          <cell r="K81">
            <v>0.27227722772277202</v>
          </cell>
          <cell r="L81">
            <v>109.9999999999999</v>
          </cell>
          <cell r="M81">
            <v>52425.030812794328</v>
          </cell>
          <cell r="N81">
            <v>89508.771409678244</v>
          </cell>
        </row>
        <row r="82">
          <cell r="E82">
            <v>2221</v>
          </cell>
          <cell r="F82" t="str">
            <v>Nether Green Infant School</v>
          </cell>
          <cell r="G82">
            <v>211</v>
          </cell>
          <cell r="H82">
            <v>6.6350710900473897E-2</v>
          </cell>
          <cell r="I82">
            <v>13.999999999999993</v>
          </cell>
          <cell r="J82">
            <v>5089.925179964468</v>
          </cell>
          <cell r="K82">
            <v>6.6350710900473897E-2</v>
          </cell>
          <cell r="L82">
            <v>13.999999999999993</v>
          </cell>
          <cell r="M82">
            <v>6672.2766489010992</v>
          </cell>
          <cell r="N82">
            <v>11762.201828865567</v>
          </cell>
        </row>
        <row r="83">
          <cell r="E83">
            <v>2087</v>
          </cell>
          <cell r="F83" t="str">
            <v>Nether Green Junior School</v>
          </cell>
          <cell r="G83">
            <v>359</v>
          </cell>
          <cell r="H83">
            <v>0.10027855153203299</v>
          </cell>
          <cell r="I83">
            <v>35.999999999999844</v>
          </cell>
          <cell r="J83">
            <v>13088.379034194295</v>
          </cell>
          <cell r="K83">
            <v>0.105849582172702</v>
          </cell>
          <cell r="L83">
            <v>38.000000000000021</v>
          </cell>
          <cell r="M83">
            <v>18110.465189874431</v>
          </cell>
          <cell r="N83">
            <v>31198.844224068725</v>
          </cell>
        </row>
        <row r="84">
          <cell r="E84">
            <v>2272</v>
          </cell>
          <cell r="F84" t="str">
            <v>Netherthorpe Primary School</v>
          </cell>
          <cell r="G84">
            <v>206</v>
          </cell>
          <cell r="H84">
            <v>0.485436893203884</v>
          </cell>
          <cell r="I84">
            <v>100.0000000000001</v>
          </cell>
          <cell r="J84">
            <v>36356.608428317682</v>
          </cell>
          <cell r="K84">
            <v>0.50485436893203905</v>
          </cell>
          <cell r="L84">
            <v>104.00000000000004</v>
          </cell>
          <cell r="M84">
            <v>49565.483677551063</v>
          </cell>
          <cell r="N84">
            <v>85922.092105868738</v>
          </cell>
        </row>
        <row r="85">
          <cell r="E85">
            <v>2309</v>
          </cell>
          <cell r="F85" t="str">
            <v>Nook Lane Junior School</v>
          </cell>
          <cell r="G85">
            <v>252</v>
          </cell>
          <cell r="H85">
            <v>8.7301587301587297E-2</v>
          </cell>
          <cell r="I85">
            <v>22</v>
          </cell>
          <cell r="J85">
            <v>7998.4538542298815</v>
          </cell>
          <cell r="K85">
            <v>9.1269841269841306E-2</v>
          </cell>
          <cell r="L85">
            <v>23.000000000000011</v>
          </cell>
          <cell r="M85">
            <v>10961.597351766102</v>
          </cell>
          <cell r="N85">
            <v>18960.051205995984</v>
          </cell>
        </row>
        <row r="86">
          <cell r="E86">
            <v>2051</v>
          </cell>
          <cell r="F86" t="str">
            <v>Norfolk Community Primary School</v>
          </cell>
          <cell r="G86">
            <v>388</v>
          </cell>
          <cell r="H86">
            <v>0.57474226804123696</v>
          </cell>
          <cell r="I86">
            <v>222.99999999999994</v>
          </cell>
          <cell r="J86">
            <v>81075.236795148332</v>
          </cell>
          <cell r="K86">
            <v>0.597938144329897</v>
          </cell>
          <cell r="L86">
            <v>232.00000000000003</v>
          </cell>
          <cell r="M86">
            <v>110569.15589607542</v>
          </cell>
          <cell r="N86">
            <v>191644.39269122377</v>
          </cell>
        </row>
        <row r="87">
          <cell r="E87">
            <v>3010</v>
          </cell>
          <cell r="F87" t="str">
            <v>Norton Free Church of England Primary School</v>
          </cell>
          <cell r="G87">
            <v>209</v>
          </cell>
          <cell r="H87">
            <v>0.11483253588516699</v>
          </cell>
          <cell r="I87">
            <v>23.999999999999901</v>
          </cell>
          <cell r="J87">
            <v>8725.5860227961984</v>
          </cell>
          <cell r="K87">
            <v>0.12918660287081299</v>
          </cell>
          <cell r="L87">
            <v>26.999999999999915</v>
          </cell>
          <cell r="M87">
            <v>12867.962108594942</v>
          </cell>
          <cell r="N87">
            <v>21593.54813139114</v>
          </cell>
        </row>
        <row r="88">
          <cell r="E88">
            <v>2018</v>
          </cell>
          <cell r="F88" t="str">
            <v>Oasis Academy Fir Vale</v>
          </cell>
          <cell r="G88">
            <v>401</v>
          </cell>
          <cell r="H88">
            <v>0.72817955112219501</v>
          </cell>
          <cell r="I88">
            <v>292.00000000000023</v>
          </cell>
          <cell r="J88">
            <v>106161.29661068761</v>
          </cell>
          <cell r="K88">
            <v>0.74064837905236902</v>
          </cell>
          <cell r="L88">
            <v>297</v>
          </cell>
          <cell r="M88">
            <v>141547.5831945448</v>
          </cell>
          <cell r="N88">
            <v>247708.8798052324</v>
          </cell>
        </row>
        <row r="89">
          <cell r="E89">
            <v>2019</v>
          </cell>
          <cell r="F89" t="str">
            <v>Oasis Academy Watermead</v>
          </cell>
          <cell r="G89">
            <v>377</v>
          </cell>
          <cell r="H89">
            <v>0.53846153846153799</v>
          </cell>
          <cell r="I89">
            <v>202.99999999999983</v>
          </cell>
          <cell r="J89">
            <v>73803.915109484762</v>
          </cell>
          <cell r="K89">
            <v>0.578249336870027</v>
          </cell>
          <cell r="L89">
            <v>218.00000000000017</v>
          </cell>
          <cell r="M89">
            <v>103896.87924717439</v>
          </cell>
          <cell r="N89">
            <v>177700.79435665917</v>
          </cell>
        </row>
        <row r="90">
          <cell r="E90">
            <v>2313</v>
          </cell>
          <cell r="F90" t="str">
            <v>Oughtibridge Primary School</v>
          </cell>
          <cell r="G90">
            <v>416</v>
          </cell>
          <cell r="H90">
            <v>8.6538461538461495E-2</v>
          </cell>
          <cell r="I90">
            <v>35.999999999999979</v>
          </cell>
          <cell r="J90">
            <v>13088.379034194344</v>
          </cell>
          <cell r="K90">
            <v>8.8942307692307696E-2</v>
          </cell>
          <cell r="L90">
            <v>37</v>
          </cell>
          <cell r="M90">
            <v>17633.874000667198</v>
          </cell>
          <cell r="N90">
            <v>30722.25303486154</v>
          </cell>
        </row>
        <row r="91">
          <cell r="E91">
            <v>2093</v>
          </cell>
          <cell r="F91" t="str">
            <v>Owler Brook Primary School</v>
          </cell>
          <cell r="G91">
            <v>384</v>
          </cell>
          <cell r="H91">
            <v>0.5546875</v>
          </cell>
          <cell r="I91">
            <v>213</v>
          </cell>
          <cell r="J91">
            <v>77439.575952316591</v>
          </cell>
          <cell r="K91">
            <v>0.58333333333333304</v>
          </cell>
          <cell r="L91">
            <v>223.99999999999989</v>
          </cell>
          <cell r="M91">
            <v>106756.42638241759</v>
          </cell>
          <cell r="N91">
            <v>184196.00233473419</v>
          </cell>
        </row>
        <row r="92">
          <cell r="E92">
            <v>3428</v>
          </cell>
          <cell r="F92" t="str">
            <v>Parson Cross Church of England Primary School</v>
          </cell>
          <cell r="G92">
            <v>201</v>
          </cell>
          <cell r="H92">
            <v>0.28358208955223901</v>
          </cell>
          <cell r="I92">
            <v>57.000000000000043</v>
          </cell>
          <cell r="J92">
            <v>20723.266804141072</v>
          </cell>
          <cell r="K92">
            <v>0.29353233830845799</v>
          </cell>
          <cell r="L92">
            <v>59.000000000000057</v>
          </cell>
          <cell r="M92">
            <v>28118.880163226102</v>
          </cell>
          <cell r="N92">
            <v>48842.146967367175</v>
          </cell>
        </row>
        <row r="93">
          <cell r="E93">
            <v>2332</v>
          </cell>
          <cell r="F93" t="str">
            <v>Phillimore Community Primary School</v>
          </cell>
          <cell r="G93">
            <v>413</v>
          </cell>
          <cell r="H93">
            <v>0.59079903147699797</v>
          </cell>
          <cell r="I93">
            <v>244.00000000000017</v>
          </cell>
          <cell r="J93">
            <v>88710.124565095117</v>
          </cell>
          <cell r="K93">
            <v>0.61016949152542399</v>
          </cell>
          <cell r="L93">
            <v>252.00000000000011</v>
          </cell>
          <cell r="M93">
            <v>120100.9796802199</v>
          </cell>
          <cell r="N93">
            <v>208811.10424531501</v>
          </cell>
        </row>
        <row r="94">
          <cell r="E94">
            <v>3433</v>
          </cell>
          <cell r="F94" t="str">
            <v>Pipworth Community Primary School</v>
          </cell>
          <cell r="G94">
            <v>410</v>
          </cell>
          <cell r="H94">
            <v>0.59756097560975596</v>
          </cell>
          <cell r="I94">
            <v>244.99999999999994</v>
          </cell>
          <cell r="J94">
            <v>89073.690649378215</v>
          </cell>
          <cell r="K94">
            <v>0.62926829268292706</v>
          </cell>
          <cell r="L94">
            <v>258.00000000000011</v>
          </cell>
          <cell r="M94">
            <v>122960.52681546322</v>
          </cell>
          <cell r="N94">
            <v>212034.21746484144</v>
          </cell>
        </row>
        <row r="95">
          <cell r="E95">
            <v>3427</v>
          </cell>
          <cell r="F95" t="str">
            <v>Porter Croft Church of England Primary Academy</v>
          </cell>
          <cell r="G95">
            <v>213</v>
          </cell>
          <cell r="H95">
            <v>0.35680751173708902</v>
          </cell>
          <cell r="I95">
            <v>75.999999999999957</v>
          </cell>
          <cell r="J95">
            <v>27631.022405521395</v>
          </cell>
          <cell r="K95">
            <v>0.41314553990610298</v>
          </cell>
          <cell r="L95">
            <v>87.999999999999929</v>
          </cell>
          <cell r="M95">
            <v>41940.024650235464</v>
          </cell>
          <cell r="N95">
            <v>69571.047055756862</v>
          </cell>
        </row>
        <row r="96">
          <cell r="E96">
            <v>2347</v>
          </cell>
          <cell r="F96" t="str">
            <v>Prince Edward Primary School</v>
          </cell>
          <cell r="G96">
            <v>411</v>
          </cell>
          <cell r="H96">
            <v>0.51338199513381999</v>
          </cell>
          <cell r="I96">
            <v>211.00000000000003</v>
          </cell>
          <cell r="J96">
            <v>76712.443783750248</v>
          </cell>
          <cell r="K96">
            <v>0.54501216545012199</v>
          </cell>
          <cell r="L96">
            <v>224.00000000000014</v>
          </cell>
          <cell r="M96">
            <v>106756.4263824177</v>
          </cell>
          <cell r="N96">
            <v>183468.87016616797</v>
          </cell>
        </row>
        <row r="97">
          <cell r="E97">
            <v>2366</v>
          </cell>
          <cell r="F97" t="str">
            <v>Pye Bank CofE Primary School</v>
          </cell>
          <cell r="G97">
            <v>393</v>
          </cell>
          <cell r="H97">
            <v>0.52926208651399498</v>
          </cell>
          <cell r="I97">
            <v>208.00000000000003</v>
          </cell>
          <cell r="J97">
            <v>75621.745530900705</v>
          </cell>
          <cell r="K97">
            <v>0.54961832061068705</v>
          </cell>
          <cell r="L97">
            <v>216</v>
          </cell>
          <cell r="M97">
            <v>102943.69686875986</v>
          </cell>
          <cell r="N97">
            <v>178565.44239966056</v>
          </cell>
        </row>
        <row r="98">
          <cell r="E98">
            <v>2363</v>
          </cell>
          <cell r="F98" t="str">
            <v>Rainbow Forge Primary Academy</v>
          </cell>
          <cell r="G98">
            <v>288</v>
          </cell>
          <cell r="H98">
            <v>0.45486111111111099</v>
          </cell>
          <cell r="I98">
            <v>130.99999999999997</v>
          </cell>
          <cell r="J98">
            <v>47627.157041096107</v>
          </cell>
          <cell r="K98">
            <v>0.46527777777777801</v>
          </cell>
          <cell r="L98">
            <v>134.00000000000006</v>
          </cell>
          <cell r="M98">
            <v>63863.219353767723</v>
          </cell>
          <cell r="N98">
            <v>111490.37639486382</v>
          </cell>
        </row>
        <row r="99">
          <cell r="E99">
            <v>2334</v>
          </cell>
          <cell r="F99" t="str">
            <v>Reignhead Primary School</v>
          </cell>
          <cell r="G99">
            <v>264</v>
          </cell>
          <cell r="H99">
            <v>0.33333333333333298</v>
          </cell>
          <cell r="I99">
            <v>87.999999999999901</v>
          </cell>
          <cell r="J99">
            <v>31993.815416919493</v>
          </cell>
          <cell r="K99">
            <v>0.35606060606060602</v>
          </cell>
          <cell r="L99">
            <v>93.999999999999986</v>
          </cell>
          <cell r="M99">
            <v>44799.571785478824</v>
          </cell>
          <cell r="N99">
            <v>76793.387202398313</v>
          </cell>
        </row>
        <row r="100">
          <cell r="E100">
            <v>2338</v>
          </cell>
          <cell r="F100" t="str">
            <v>Rivelin Primary School</v>
          </cell>
          <cell r="G100">
            <v>318</v>
          </cell>
          <cell r="H100">
            <v>0.20125786163522</v>
          </cell>
          <cell r="I100">
            <v>63.999999999999957</v>
          </cell>
          <cell r="J100">
            <v>23268.229394123278</v>
          </cell>
          <cell r="K100">
            <v>0.22641509433962301</v>
          </cell>
          <cell r="L100">
            <v>72.000000000000114</v>
          </cell>
          <cell r="M100">
            <v>34314.56562292001</v>
          </cell>
          <cell r="N100">
            <v>57582.795017043289</v>
          </cell>
        </row>
        <row r="101">
          <cell r="E101">
            <v>2306</v>
          </cell>
          <cell r="F101" t="str">
            <v>Royd Nursery and Infant School</v>
          </cell>
          <cell r="G101">
            <v>130</v>
          </cell>
          <cell r="H101">
            <v>0.22307692307692301</v>
          </cell>
          <cell r="I101">
            <v>28.999999999999989</v>
          </cell>
          <cell r="J101">
            <v>10543.416444212113</v>
          </cell>
          <cell r="K101">
            <v>0.22307692307692301</v>
          </cell>
          <cell r="L101">
            <v>28.999999999999989</v>
          </cell>
          <cell r="M101">
            <v>13821.14448700942</v>
          </cell>
          <cell r="N101">
            <v>24364.560931221531</v>
          </cell>
        </row>
        <row r="102">
          <cell r="E102">
            <v>3401</v>
          </cell>
          <cell r="F102" t="str">
            <v>Sacred Heart School, A Catholic Voluntary Academy</v>
          </cell>
          <cell r="G102">
            <v>206</v>
          </cell>
          <cell r="H102">
            <v>0.15048543689320401</v>
          </cell>
          <cell r="I102">
            <v>31.000000000000025</v>
          </cell>
          <cell r="J102">
            <v>11270.548612778479</v>
          </cell>
          <cell r="K102">
            <v>0.17475728155339801</v>
          </cell>
          <cell r="L102">
            <v>35.999999999999993</v>
          </cell>
          <cell r="M102">
            <v>17157.282811459972</v>
          </cell>
          <cell r="N102">
            <v>28427.831424238451</v>
          </cell>
        </row>
        <row r="103">
          <cell r="E103">
            <v>2369</v>
          </cell>
          <cell r="F103" t="str">
            <v>Sharrow Nursery, Infant and Junior School</v>
          </cell>
          <cell r="G103">
            <v>415</v>
          </cell>
          <cell r="H103">
            <v>0.37831325301204799</v>
          </cell>
          <cell r="I103">
            <v>156.99999999999991</v>
          </cell>
          <cell r="J103">
            <v>57079.875232458675</v>
          </cell>
          <cell r="K103">
            <v>0.39518072289156603</v>
          </cell>
          <cell r="L103">
            <v>163.99999999999991</v>
          </cell>
          <cell r="M103">
            <v>78160.955029984296</v>
          </cell>
          <cell r="N103">
            <v>135240.83026244296</v>
          </cell>
        </row>
        <row r="104">
          <cell r="E104">
            <v>2349</v>
          </cell>
          <cell r="F104" t="str">
            <v>Shooter's Grove Primary School</v>
          </cell>
          <cell r="G104">
            <v>354</v>
          </cell>
          <cell r="H104">
            <v>0.257062146892655</v>
          </cell>
          <cell r="I104">
            <v>90.999999999999872</v>
          </cell>
          <cell r="J104">
            <v>33084.51366976901</v>
          </cell>
          <cell r="K104">
            <v>0.274011299435028</v>
          </cell>
          <cell r="L104">
            <v>96.999999999999915</v>
          </cell>
          <cell r="M104">
            <v>46229.345353100456</v>
          </cell>
          <cell r="N104">
            <v>79313.859022869467</v>
          </cell>
        </row>
        <row r="105">
          <cell r="E105">
            <v>2360</v>
          </cell>
          <cell r="F105" t="str">
            <v>Shortbrook Primary School</v>
          </cell>
          <cell r="G105">
            <v>88</v>
          </cell>
          <cell r="H105">
            <v>0.63636363636363602</v>
          </cell>
          <cell r="I105">
            <v>55.999999999999972</v>
          </cell>
          <cell r="J105">
            <v>20359.700719857872</v>
          </cell>
          <cell r="K105">
            <v>0.64772727272727304</v>
          </cell>
          <cell r="L105">
            <v>57.000000000000028</v>
          </cell>
          <cell r="M105">
            <v>27165.697784811644</v>
          </cell>
          <cell r="N105">
            <v>47525.398504669516</v>
          </cell>
        </row>
        <row r="106">
          <cell r="E106">
            <v>2009</v>
          </cell>
          <cell r="F106" t="str">
            <v>Southey Green Primary School and Nurseries</v>
          </cell>
          <cell r="G106">
            <v>605</v>
          </cell>
          <cell r="H106">
            <v>0.55206611570247899</v>
          </cell>
          <cell r="I106">
            <v>333.99999999999977</v>
          </cell>
          <cell r="J106">
            <v>121431.07215058085</v>
          </cell>
          <cell r="K106">
            <v>0.58181818181818201</v>
          </cell>
          <cell r="L106">
            <v>352.00000000000011</v>
          </cell>
          <cell r="M106">
            <v>167760.09860094206</v>
          </cell>
          <cell r="N106">
            <v>289191.17075152288</v>
          </cell>
        </row>
        <row r="107">
          <cell r="E107">
            <v>2329</v>
          </cell>
          <cell r="F107" t="str">
            <v>Springfield Primary School</v>
          </cell>
          <cell r="G107">
            <v>209</v>
          </cell>
          <cell r="H107">
            <v>0.43540669856459302</v>
          </cell>
          <cell r="I107">
            <v>90.999999999999943</v>
          </cell>
          <cell r="J107">
            <v>33084.51366976904</v>
          </cell>
          <cell r="K107">
            <v>0.43540669856459302</v>
          </cell>
          <cell r="L107">
            <v>90.999999999999943</v>
          </cell>
          <cell r="M107">
            <v>43369.79821785714</v>
          </cell>
          <cell r="N107">
            <v>76454.311887626187</v>
          </cell>
        </row>
        <row r="108">
          <cell r="E108">
            <v>5202</v>
          </cell>
          <cell r="F108" t="str">
            <v>St Ann's Catholic Primary School, A Voluntary Academy</v>
          </cell>
          <cell r="G108">
            <v>92</v>
          </cell>
          <cell r="H108">
            <v>0.141304347826087</v>
          </cell>
          <cell r="I108">
            <v>13.000000000000004</v>
          </cell>
          <cell r="J108">
            <v>4726.359095681295</v>
          </cell>
          <cell r="K108">
            <v>0.19565217391304299</v>
          </cell>
          <cell r="L108">
            <v>17.999999999999954</v>
          </cell>
          <cell r="M108">
            <v>8578.6414057299662</v>
          </cell>
          <cell r="N108">
            <v>13305.000501411261</v>
          </cell>
        </row>
        <row r="109">
          <cell r="E109">
            <v>3402</v>
          </cell>
          <cell r="F109" t="str">
            <v>St Catherine's Catholic Primary School (Hallam)</v>
          </cell>
          <cell r="G109">
            <v>422</v>
          </cell>
          <cell r="H109">
            <v>0.327014218009479</v>
          </cell>
          <cell r="I109">
            <v>138.00000000000014</v>
          </cell>
          <cell r="J109">
            <v>50172.1196310784</v>
          </cell>
          <cell r="K109">
            <v>0.362559241706161</v>
          </cell>
          <cell r="L109">
            <v>152.99999999999994</v>
          </cell>
          <cell r="M109">
            <v>72918.451948704882</v>
          </cell>
          <cell r="N109">
            <v>123090.57157978328</v>
          </cell>
        </row>
        <row r="110">
          <cell r="E110">
            <v>2017</v>
          </cell>
          <cell r="F110" t="str">
            <v>St John Fisher Primary, A Catholic Voluntary Academy</v>
          </cell>
          <cell r="G110">
            <v>210</v>
          </cell>
          <cell r="H110">
            <v>0.17619047619047601</v>
          </cell>
          <cell r="I110">
            <v>36.999999999999964</v>
          </cell>
          <cell r="J110">
            <v>13451.945118477515</v>
          </cell>
          <cell r="K110">
            <v>0.19047619047618999</v>
          </cell>
          <cell r="L110">
            <v>39.999999999999901</v>
          </cell>
          <cell r="M110">
            <v>19063.647568288816</v>
          </cell>
          <cell r="N110">
            <v>32515.592686766329</v>
          </cell>
        </row>
        <row r="111">
          <cell r="E111">
            <v>5203</v>
          </cell>
          <cell r="F111" t="str">
            <v>St Joseph's Primary School</v>
          </cell>
          <cell r="G111">
            <v>204</v>
          </cell>
          <cell r="H111">
            <v>0.13725490196078399</v>
          </cell>
          <cell r="I111">
            <v>27.999999999999936</v>
          </cell>
          <cell r="J111">
            <v>10179.850359928918</v>
          </cell>
          <cell r="K111">
            <v>0.14215686274509801</v>
          </cell>
          <cell r="L111">
            <v>28.999999999999993</v>
          </cell>
          <cell r="M111">
            <v>13821.144487009422</v>
          </cell>
          <cell r="N111">
            <v>24000.994846938338</v>
          </cell>
        </row>
        <row r="112">
          <cell r="E112">
            <v>3406</v>
          </cell>
          <cell r="F112" t="str">
            <v>St Marie's School, A Catholic Voluntary Academy</v>
          </cell>
          <cell r="G112">
            <v>217</v>
          </cell>
          <cell r="H112">
            <v>9.2165898617511496E-2</v>
          </cell>
          <cell r="I112">
            <v>19.999999999999996</v>
          </cell>
          <cell r="J112">
            <v>7271.3216856635281</v>
          </cell>
          <cell r="K112">
            <v>0.101382488479263</v>
          </cell>
          <cell r="L112">
            <v>22.000000000000071</v>
          </cell>
          <cell r="M112">
            <v>10485.00616255891</v>
          </cell>
          <cell r="N112">
            <v>17756.327848222438</v>
          </cell>
        </row>
        <row r="113">
          <cell r="E113">
            <v>2020</v>
          </cell>
          <cell r="F113" t="str">
            <v>St Mary's Church of England Primary School</v>
          </cell>
          <cell r="G113">
            <v>197</v>
          </cell>
          <cell r="H113">
            <v>0.29949238578680198</v>
          </cell>
          <cell r="I113">
            <v>58.999999999999993</v>
          </cell>
          <cell r="J113">
            <v>21450.398972707408</v>
          </cell>
          <cell r="K113">
            <v>0.32487309644669998</v>
          </cell>
          <cell r="L113">
            <v>63.999999999999893</v>
          </cell>
          <cell r="M113">
            <v>30501.836109262131</v>
          </cell>
          <cell r="N113">
            <v>51952.235081969542</v>
          </cell>
        </row>
        <row r="114">
          <cell r="E114">
            <v>3423</v>
          </cell>
          <cell r="F114" t="str">
            <v>St Mary's Primary School, A Catholic Voluntary Academy</v>
          </cell>
          <cell r="G114">
            <v>188</v>
          </cell>
          <cell r="H114">
            <v>0.111702127659574</v>
          </cell>
          <cell r="I114">
            <v>20.999999999999911</v>
          </cell>
          <cell r="J114">
            <v>7634.887769946673</v>
          </cell>
          <cell r="K114">
            <v>0.117021276595745</v>
          </cell>
          <cell r="L114">
            <v>22.00000000000006</v>
          </cell>
          <cell r="M114">
            <v>10485.006162558904</v>
          </cell>
          <cell r="N114">
            <v>18119.893932505576</v>
          </cell>
        </row>
        <row r="115">
          <cell r="E115">
            <v>5207</v>
          </cell>
          <cell r="F115" t="str">
            <v>St Patrick's Catholic Voluntary Academy</v>
          </cell>
          <cell r="G115">
            <v>279</v>
          </cell>
          <cell r="H115">
            <v>0.29032258064516098</v>
          </cell>
          <cell r="I115">
            <v>80.999999999999915</v>
          </cell>
          <cell r="J115">
            <v>29448.852826937262</v>
          </cell>
          <cell r="K115">
            <v>0.31541218637992802</v>
          </cell>
          <cell r="L115">
            <v>87.999999999999915</v>
          </cell>
          <cell r="M115">
            <v>41940.024650235457</v>
          </cell>
          <cell r="N115">
            <v>71388.877477172718</v>
          </cell>
        </row>
        <row r="116">
          <cell r="E116">
            <v>5208</v>
          </cell>
          <cell r="F116" t="str">
            <v>St Theresa's Catholic Primary School</v>
          </cell>
          <cell r="G116">
            <v>207</v>
          </cell>
          <cell r="H116">
            <v>0.29468599033816401</v>
          </cell>
          <cell r="I116">
            <v>60.99999999999995</v>
          </cell>
          <cell r="J116">
            <v>22177.531141273746</v>
          </cell>
          <cell r="K116">
            <v>0.32850241545893699</v>
          </cell>
          <cell r="L116">
            <v>67.999999999999957</v>
          </cell>
          <cell r="M116">
            <v>32408.200866091047</v>
          </cell>
          <cell r="N116">
            <v>54585.732007364793</v>
          </cell>
        </row>
        <row r="117">
          <cell r="E117">
            <v>3424</v>
          </cell>
          <cell r="F117" t="str">
            <v>St Thomas More Catholic Primary, A Voluntary Academy</v>
          </cell>
          <cell r="G117">
            <v>209</v>
          </cell>
          <cell r="H117">
            <v>0.17703349282296699</v>
          </cell>
          <cell r="I117">
            <v>37.000000000000099</v>
          </cell>
          <cell r="J117">
            <v>13451.945118477564</v>
          </cell>
          <cell r="K117">
            <v>0.191387559808612</v>
          </cell>
          <cell r="L117">
            <v>39.999999999999908</v>
          </cell>
          <cell r="M117">
            <v>19063.647568288819</v>
          </cell>
          <cell r="N117">
            <v>32515.592686766384</v>
          </cell>
        </row>
        <row r="118">
          <cell r="E118">
            <v>3414</v>
          </cell>
          <cell r="F118" t="str">
            <v>St Thomas of Canterbury School, a Catholic Voluntary Academy</v>
          </cell>
          <cell r="G118">
            <v>211</v>
          </cell>
          <cell r="H118">
            <v>0.14218009478672999</v>
          </cell>
          <cell r="I118">
            <v>30.000000000000028</v>
          </cell>
          <cell r="J118">
            <v>10906.982528495304</v>
          </cell>
          <cell r="K118">
            <v>0.151658767772512</v>
          </cell>
          <cell r="L118">
            <v>32.000000000000028</v>
          </cell>
          <cell r="M118">
            <v>15250.918054631104</v>
          </cell>
          <cell r="N118">
            <v>26157.900583126408</v>
          </cell>
        </row>
        <row r="119">
          <cell r="E119">
            <v>3412</v>
          </cell>
          <cell r="F119" t="str">
            <v>St Wilfrid's Catholic Primary School</v>
          </cell>
          <cell r="G119">
            <v>307</v>
          </cell>
          <cell r="H119">
            <v>3.5830618892508097E-2</v>
          </cell>
          <cell r="I119">
            <v>10.999999999999986</v>
          </cell>
          <cell r="J119">
            <v>3999.2269271149357</v>
          </cell>
          <cell r="K119">
            <v>3.5830618892508097E-2</v>
          </cell>
          <cell r="L119">
            <v>10.999999999999986</v>
          </cell>
          <cell r="M119">
            <v>5242.5030812794303</v>
          </cell>
          <cell r="N119">
            <v>9241.7300083943665</v>
          </cell>
        </row>
        <row r="120">
          <cell r="E120">
            <v>2294</v>
          </cell>
          <cell r="F120" t="str">
            <v>Stannington Infant School</v>
          </cell>
          <cell r="G120">
            <v>181</v>
          </cell>
          <cell r="H120">
            <v>0.116022099447514</v>
          </cell>
          <cell r="I120">
            <v>21.000000000000036</v>
          </cell>
          <cell r="J120">
            <v>7634.8877699467184</v>
          </cell>
          <cell r="K120">
            <v>0.116022099447514</v>
          </cell>
          <cell r="L120">
            <v>21.000000000000036</v>
          </cell>
          <cell r="M120">
            <v>10008.41497335167</v>
          </cell>
          <cell r="N120">
            <v>17643.302743298387</v>
          </cell>
        </row>
        <row r="121">
          <cell r="E121">
            <v>2303</v>
          </cell>
          <cell r="F121" t="str">
            <v>Stocksbridge Junior School</v>
          </cell>
          <cell r="G121">
            <v>308</v>
          </cell>
          <cell r="H121">
            <v>0.25974025974025999</v>
          </cell>
          <cell r="I121">
            <v>80.000000000000071</v>
          </cell>
          <cell r="J121">
            <v>29085.286742654142</v>
          </cell>
          <cell r="K121">
            <v>0.28246753246753198</v>
          </cell>
          <cell r="L121">
            <v>86.999999999999844</v>
          </cell>
          <cell r="M121">
            <v>41463.433461028202</v>
          </cell>
          <cell r="N121">
            <v>70548.720203682344</v>
          </cell>
        </row>
        <row r="122">
          <cell r="E122">
            <v>2302</v>
          </cell>
          <cell r="F122" t="str">
            <v>Stocksbridge Nursery Infant School</v>
          </cell>
          <cell r="G122">
            <v>194</v>
          </cell>
          <cell r="H122">
            <v>0.268041237113402</v>
          </cell>
          <cell r="I122">
            <v>51.999999999999986</v>
          </cell>
          <cell r="J122">
            <v>18905.436382725169</v>
          </cell>
          <cell r="K122">
            <v>0.268041237113402</v>
          </cell>
          <cell r="L122">
            <v>51.999999999999986</v>
          </cell>
          <cell r="M122">
            <v>24782.741838775517</v>
          </cell>
          <cell r="N122">
            <v>43688.178221500682</v>
          </cell>
        </row>
        <row r="123">
          <cell r="E123">
            <v>2350</v>
          </cell>
          <cell r="F123" t="str">
            <v>Stradbroke Primary School</v>
          </cell>
          <cell r="G123">
            <v>412</v>
          </cell>
          <cell r="H123">
            <v>0.45873786407766998</v>
          </cell>
          <cell r="I123">
            <v>189.00000000000003</v>
          </cell>
          <cell r="J123">
            <v>68713.989929520365</v>
          </cell>
          <cell r="K123">
            <v>0.48786407766990297</v>
          </cell>
          <cell r="L123">
            <v>201.00000000000003</v>
          </cell>
          <cell r="M123">
            <v>95794.829030651556</v>
          </cell>
          <cell r="N123">
            <v>164508.81896017192</v>
          </cell>
        </row>
        <row r="124">
          <cell r="E124">
            <v>2230</v>
          </cell>
          <cell r="F124" t="str">
            <v>Tinsley Meadows Primary School</v>
          </cell>
          <cell r="G124">
            <v>543</v>
          </cell>
          <cell r="H124">
            <v>0.42725598526703501</v>
          </cell>
          <cell r="I124">
            <v>232</v>
          </cell>
          <cell r="J124">
            <v>84347.331553696931</v>
          </cell>
          <cell r="K124">
            <v>0.44751381215469599</v>
          </cell>
          <cell r="L124">
            <v>242.99999999999991</v>
          </cell>
          <cell r="M124">
            <v>115811.6589773548</v>
          </cell>
          <cell r="N124">
            <v>200158.99053105174</v>
          </cell>
        </row>
        <row r="125">
          <cell r="E125">
            <v>5206</v>
          </cell>
          <cell r="F125" t="str">
            <v>Totley All Saints Church of England Voluntary Aided Primary School</v>
          </cell>
          <cell r="G125">
            <v>214</v>
          </cell>
          <cell r="H125">
            <v>7.00934579439252E-2</v>
          </cell>
          <cell r="I125">
            <v>14.999999999999993</v>
          </cell>
          <cell r="J125">
            <v>5453.4912642476438</v>
          </cell>
          <cell r="K125">
            <v>7.4766355140186896E-2</v>
          </cell>
          <cell r="L125">
            <v>15.999999999999996</v>
          </cell>
          <cell r="M125">
            <v>7625.4590273155436</v>
          </cell>
          <cell r="N125">
            <v>13078.950291563187</v>
          </cell>
        </row>
        <row r="126">
          <cell r="E126">
            <v>2203</v>
          </cell>
          <cell r="F126" t="str">
            <v>Totley Primary School</v>
          </cell>
          <cell r="G126">
            <v>399</v>
          </cell>
          <cell r="H126">
            <v>9.2731829573934804E-2</v>
          </cell>
          <cell r="I126">
            <v>36.999999999999986</v>
          </cell>
          <cell r="J126">
            <v>13451.945118477524</v>
          </cell>
          <cell r="K126">
            <v>0.10025062656641601</v>
          </cell>
          <cell r="L126">
            <v>39.999999999999986</v>
          </cell>
          <cell r="M126">
            <v>19063.647568288856</v>
          </cell>
          <cell r="N126">
            <v>32515.59268676638</v>
          </cell>
        </row>
        <row r="127">
          <cell r="E127">
            <v>2351</v>
          </cell>
          <cell r="F127" t="str">
            <v>Walkley Primary School</v>
          </cell>
          <cell r="G127">
            <v>345</v>
          </cell>
          <cell r="H127">
            <v>0.28115942028985502</v>
          </cell>
          <cell r="I127">
            <v>96.999999999999986</v>
          </cell>
          <cell r="J127">
            <v>35265.910175468111</v>
          </cell>
          <cell r="K127">
            <v>0.28405797101449298</v>
          </cell>
          <cell r="L127">
            <v>98.000000000000085</v>
          </cell>
          <cell r="M127">
            <v>46705.936542307754</v>
          </cell>
          <cell r="N127">
            <v>81971.846717775858</v>
          </cell>
        </row>
        <row r="128">
          <cell r="E128">
            <v>3432</v>
          </cell>
          <cell r="F128" t="str">
            <v>Watercliffe Meadow Community Primary School</v>
          </cell>
          <cell r="G128">
            <v>407</v>
          </cell>
          <cell r="H128">
            <v>0.51597051597051602</v>
          </cell>
          <cell r="I128">
            <v>210.00000000000003</v>
          </cell>
          <cell r="J128">
            <v>76348.877699467062</v>
          </cell>
          <cell r="K128">
            <v>0.54299754299754299</v>
          </cell>
          <cell r="L128">
            <v>221</v>
          </cell>
          <cell r="M128">
            <v>105326.65281479598</v>
          </cell>
          <cell r="N128">
            <v>181675.53051426302</v>
          </cell>
        </row>
        <row r="129">
          <cell r="E129">
            <v>2319</v>
          </cell>
          <cell r="F129" t="str">
            <v>Waterthorpe Infant School</v>
          </cell>
          <cell r="G129">
            <v>124</v>
          </cell>
          <cell r="H129">
            <v>0.31451612903225801</v>
          </cell>
          <cell r="I129">
            <v>38.999999999999993</v>
          </cell>
          <cell r="J129">
            <v>14179.07728704388</v>
          </cell>
          <cell r="K129">
            <v>0.31451612903225801</v>
          </cell>
          <cell r="L129">
            <v>38.999999999999993</v>
          </cell>
          <cell r="M129">
            <v>18587.056379081638</v>
          </cell>
          <cell r="N129">
            <v>32766.133666125519</v>
          </cell>
        </row>
        <row r="130">
          <cell r="E130">
            <v>2352</v>
          </cell>
          <cell r="F130" t="str">
            <v>Westways Primary School</v>
          </cell>
          <cell r="G130">
            <v>572</v>
          </cell>
          <cell r="H130">
            <v>0.160839160839161</v>
          </cell>
          <cell r="I130">
            <v>92.000000000000085</v>
          </cell>
          <cell r="J130">
            <v>33448.079754052262</v>
          </cell>
          <cell r="K130">
            <v>0.17482517482517501</v>
          </cell>
          <cell r="L130">
            <v>100.00000000000011</v>
          </cell>
          <cell r="M130">
            <v>47659.118920722212</v>
          </cell>
          <cell r="N130">
            <v>81107.198674774467</v>
          </cell>
        </row>
        <row r="131">
          <cell r="E131">
            <v>2311</v>
          </cell>
          <cell r="F131" t="str">
            <v>Wharncliffe Side Primary School</v>
          </cell>
          <cell r="G131">
            <v>141</v>
          </cell>
          <cell r="H131">
            <v>0.26241134751772999</v>
          </cell>
          <cell r="I131">
            <v>36.999999999999929</v>
          </cell>
          <cell r="J131">
            <v>13451.945118477503</v>
          </cell>
          <cell r="K131">
            <v>0.269503546099291</v>
          </cell>
          <cell r="L131">
            <v>38.000000000000028</v>
          </cell>
          <cell r="M131">
            <v>18110.465189874434</v>
          </cell>
          <cell r="N131">
            <v>31562.410308351937</v>
          </cell>
        </row>
        <row r="132">
          <cell r="E132">
            <v>2040</v>
          </cell>
          <cell r="F132" t="str">
            <v>Whiteways Primary School</v>
          </cell>
          <cell r="G132">
            <v>408</v>
          </cell>
          <cell r="H132">
            <v>0.50245098039215697</v>
          </cell>
          <cell r="I132">
            <v>205.00000000000003</v>
          </cell>
          <cell r="J132">
            <v>74531.047278051177</v>
          </cell>
          <cell r="K132">
            <v>0.51470588235294101</v>
          </cell>
          <cell r="L132">
            <v>209.99999999999994</v>
          </cell>
          <cell r="M132">
            <v>100084.1497335165</v>
          </cell>
          <cell r="N132">
            <v>174615.19701156768</v>
          </cell>
        </row>
        <row r="133">
          <cell r="E133">
            <v>2027</v>
          </cell>
          <cell r="F133" t="str">
            <v>Wincobank Nursery and Infant School</v>
          </cell>
          <cell r="G133">
            <v>122</v>
          </cell>
          <cell r="H133">
            <v>0.54918032786885296</v>
          </cell>
          <cell r="I133">
            <v>67.000000000000057</v>
          </cell>
          <cell r="J133">
            <v>24358.927646972843</v>
          </cell>
          <cell r="K133">
            <v>0.54918032786885296</v>
          </cell>
          <cell r="L133">
            <v>67.000000000000057</v>
          </cell>
          <cell r="M133">
            <v>31931.609676883872</v>
          </cell>
          <cell r="N133">
            <v>56290.537323856712</v>
          </cell>
        </row>
        <row r="134">
          <cell r="E134">
            <v>2361</v>
          </cell>
          <cell r="F134" t="str">
            <v>Windmill Hill Primary School</v>
          </cell>
          <cell r="G134">
            <v>317</v>
          </cell>
          <cell r="H134">
            <v>0.16088328075709801</v>
          </cell>
          <cell r="I134">
            <v>51.000000000000071</v>
          </cell>
          <cell r="J134">
            <v>18541.870298442023</v>
          </cell>
          <cell r="K134">
            <v>0.17034700315457399</v>
          </cell>
          <cell r="L134">
            <v>53.999999999999957</v>
          </cell>
          <cell r="M134">
            <v>25735.924217189946</v>
          </cell>
          <cell r="N134">
            <v>44277.794515631969</v>
          </cell>
        </row>
        <row r="135">
          <cell r="E135">
            <v>2043</v>
          </cell>
          <cell r="F135" t="str">
            <v>Wisewood Community Primary School</v>
          </cell>
          <cell r="G135">
            <v>153</v>
          </cell>
          <cell r="H135">
            <v>0.56209150326797397</v>
          </cell>
          <cell r="I135">
            <v>86.000000000000014</v>
          </cell>
          <cell r="J135">
            <v>31266.68324835318</v>
          </cell>
          <cell r="K135">
            <v>0.57516339869280997</v>
          </cell>
          <cell r="L135">
            <v>87.999999999999929</v>
          </cell>
          <cell r="M135">
            <v>41940.024650235464</v>
          </cell>
          <cell r="N135">
            <v>73206.707898588647</v>
          </cell>
        </row>
        <row r="136">
          <cell r="E136">
            <v>2139</v>
          </cell>
          <cell r="F136" t="str">
            <v>Woodhouse West Primary School</v>
          </cell>
          <cell r="G136">
            <v>343</v>
          </cell>
          <cell r="H136">
            <v>0.49854227405247797</v>
          </cell>
          <cell r="I136">
            <v>170.99999999999994</v>
          </cell>
          <cell r="J136">
            <v>62169.800412423152</v>
          </cell>
          <cell r="K136">
            <v>0.530612244897959</v>
          </cell>
          <cell r="L136">
            <v>181.99999999999994</v>
          </cell>
          <cell r="M136">
            <v>86739.596435714309</v>
          </cell>
          <cell r="N136">
            <v>148909.39684813746</v>
          </cell>
        </row>
        <row r="137">
          <cell r="E137">
            <v>2034</v>
          </cell>
          <cell r="F137" t="str">
            <v>Woodlands Primary (Valley Park) Community School</v>
          </cell>
          <cell r="G137">
            <v>354</v>
          </cell>
          <cell r="H137">
            <v>0.62711864406779705</v>
          </cell>
          <cell r="I137">
            <v>222.00000000000014</v>
          </cell>
          <cell r="J137">
            <v>80711.670710865219</v>
          </cell>
          <cell r="K137">
            <v>0.66666666666666696</v>
          </cell>
          <cell r="L137">
            <v>236.00000000000011</v>
          </cell>
          <cell r="M137">
            <v>112475.52065290435</v>
          </cell>
          <cell r="N137">
            <v>193187.19136376958</v>
          </cell>
        </row>
        <row r="138">
          <cell r="E138">
            <v>2324</v>
          </cell>
          <cell r="F138" t="str">
            <v>Woodseats Primary School</v>
          </cell>
          <cell r="G138">
            <v>375</v>
          </cell>
          <cell r="H138">
            <v>0.330666666666667</v>
          </cell>
          <cell r="I138">
            <v>124.00000000000013</v>
          </cell>
          <cell r="J138">
            <v>45082.19445111393</v>
          </cell>
          <cell r="K138">
            <v>0.34399999999999997</v>
          </cell>
          <cell r="L138">
            <v>129</v>
          </cell>
          <cell r="M138">
            <v>61480.263407731582</v>
          </cell>
          <cell r="N138">
            <v>106562.4578588455</v>
          </cell>
        </row>
        <row r="139">
          <cell r="E139">
            <v>2327</v>
          </cell>
          <cell r="F139" t="str">
            <v>Woodthorpe Primary School</v>
          </cell>
          <cell r="G139">
            <v>396</v>
          </cell>
          <cell r="H139">
            <v>0.61616161616161602</v>
          </cell>
          <cell r="I139">
            <v>243.99999999999994</v>
          </cell>
          <cell r="J139">
            <v>88710.12456509503</v>
          </cell>
          <cell r="K139">
            <v>0.63131313131313105</v>
          </cell>
          <cell r="L139">
            <v>249.99999999999989</v>
          </cell>
          <cell r="M139">
            <v>119147.79730180535</v>
          </cell>
          <cell r="N139">
            <v>207857.92186690037</v>
          </cell>
        </row>
        <row r="140">
          <cell r="E140">
            <v>2321</v>
          </cell>
          <cell r="F140" t="str">
            <v>Wybourn Community Primary &amp; Nursery School</v>
          </cell>
          <cell r="G140">
            <v>413</v>
          </cell>
          <cell r="H140">
            <v>0.64648910411622296</v>
          </cell>
          <cell r="I140">
            <v>267.00000000000006</v>
          </cell>
          <cell r="J140">
            <v>97072.144503608128</v>
          </cell>
          <cell r="K140">
            <v>0.677966101694915</v>
          </cell>
          <cell r="L140">
            <v>279.99999999999989</v>
          </cell>
          <cell r="M140">
            <v>133445.53297802198</v>
          </cell>
          <cell r="N140">
            <v>230517.67748163012</v>
          </cell>
        </row>
        <row r="142">
          <cell r="F142" t="str">
            <v>Total Primary</v>
          </cell>
          <cell r="G142">
            <v>43067</v>
          </cell>
          <cell r="H142">
            <v>0.3203380778786542</v>
          </cell>
          <cell r="I142">
            <v>13796</v>
          </cell>
          <cell r="J142">
            <v>5015757.6987707028</v>
          </cell>
          <cell r="K142">
            <v>0.33721875217684072</v>
          </cell>
          <cell r="L142">
            <v>14523</v>
          </cell>
          <cell r="M142">
            <v>6921533.8408564804</v>
          </cell>
          <cell r="N142">
            <v>11937291.539627181</v>
          </cell>
        </row>
        <row r="144">
          <cell r="F144" t="str">
            <v>Secondary</v>
          </cell>
        </row>
        <row r="146">
          <cell r="E146">
            <v>5401</v>
          </cell>
          <cell r="F146" t="str">
            <v>All Saints' Catholic High School</v>
          </cell>
          <cell r="G146">
            <v>1023</v>
          </cell>
          <cell r="H146">
            <v>0.206256109481916</v>
          </cell>
          <cell r="I146">
            <v>211.00000000000006</v>
          </cell>
          <cell r="J146">
            <v>99170.000000000029</v>
          </cell>
          <cell r="K146">
            <v>0.26001955034213098</v>
          </cell>
          <cell r="L146">
            <v>266</v>
          </cell>
          <cell r="M146">
            <v>115958.35517243664</v>
          </cell>
          <cell r="N146">
            <v>215128.35517243668</v>
          </cell>
        </row>
        <row r="147">
          <cell r="E147">
            <v>4017</v>
          </cell>
          <cell r="F147" t="str">
            <v>Bradfield School</v>
          </cell>
          <cell r="G147">
            <v>1081</v>
          </cell>
          <cell r="H147">
            <v>0.142460684551341</v>
          </cell>
          <cell r="I147">
            <v>153.99999999999963</v>
          </cell>
          <cell r="J147">
            <v>72379.999999999825</v>
          </cell>
          <cell r="K147">
            <v>0.16651248843663299</v>
          </cell>
          <cell r="L147">
            <v>180.00000000000026</v>
          </cell>
          <cell r="M147">
            <v>78468.059891122655</v>
          </cell>
          <cell r="N147">
            <v>150848.05989112248</v>
          </cell>
        </row>
        <row r="148">
          <cell r="E148">
            <v>4000</v>
          </cell>
          <cell r="F148" t="str">
            <v>Chaucer School</v>
          </cell>
          <cell r="G148">
            <v>820</v>
          </cell>
          <cell r="H148">
            <v>0.52195121951219503</v>
          </cell>
          <cell r="I148">
            <v>427.99999999999994</v>
          </cell>
          <cell r="J148">
            <v>201159.99999999997</v>
          </cell>
          <cell r="K148">
            <v>0.61219512195121994</v>
          </cell>
          <cell r="L148">
            <v>502.00000000000034</v>
          </cell>
          <cell r="M148">
            <v>218838.70036301969</v>
          </cell>
          <cell r="N148">
            <v>419998.70036301966</v>
          </cell>
        </row>
        <row r="149">
          <cell r="E149">
            <v>4012</v>
          </cell>
          <cell r="F149" t="str">
            <v>Ecclesfield School</v>
          </cell>
          <cell r="G149">
            <v>1676</v>
          </cell>
          <cell r="H149">
            <v>0.23329355608591901</v>
          </cell>
          <cell r="I149">
            <v>391.00000000000028</v>
          </cell>
          <cell r="J149">
            <v>183770.00000000015</v>
          </cell>
          <cell r="K149">
            <v>0.27983293556085898</v>
          </cell>
          <cell r="L149">
            <v>468.99999999999966</v>
          </cell>
          <cell r="M149">
            <v>204452.88938298024</v>
          </cell>
          <cell r="N149">
            <v>388222.88938298041</v>
          </cell>
        </row>
        <row r="150">
          <cell r="E150">
            <v>4280</v>
          </cell>
          <cell r="F150" t="str">
            <v>Fir Vale School</v>
          </cell>
          <cell r="G150">
            <v>986</v>
          </cell>
          <cell r="H150">
            <v>0.59837728194726203</v>
          </cell>
          <cell r="I150">
            <v>590.00000000000034</v>
          </cell>
          <cell r="J150">
            <v>277300.00000000017</v>
          </cell>
          <cell r="K150">
            <v>0.64705882352941202</v>
          </cell>
          <cell r="L150">
            <v>638.00000000000023</v>
          </cell>
          <cell r="M150">
            <v>278125.67894742329</v>
          </cell>
          <cell r="N150">
            <v>555425.67894742347</v>
          </cell>
        </row>
        <row r="151">
          <cell r="E151">
            <v>4003</v>
          </cell>
          <cell r="F151" t="str">
            <v>Firth Park Academy</v>
          </cell>
          <cell r="G151">
            <v>1142</v>
          </cell>
          <cell r="H151">
            <v>0.48248686514886202</v>
          </cell>
          <cell r="I151">
            <v>551.00000000000045</v>
          </cell>
          <cell r="J151">
            <v>258970.0000000002</v>
          </cell>
          <cell r="K151">
            <v>0.57443082311733795</v>
          </cell>
          <cell r="L151">
            <v>655.99999999999989</v>
          </cell>
          <cell r="M151">
            <v>285972.48493653542</v>
          </cell>
          <cell r="N151">
            <v>544942.48493653559</v>
          </cell>
        </row>
        <row r="152">
          <cell r="E152">
            <v>4007</v>
          </cell>
          <cell r="F152" t="str">
            <v>Forge Valley School</v>
          </cell>
          <cell r="G152">
            <v>1210</v>
          </cell>
          <cell r="H152">
            <v>0.22727272727272699</v>
          </cell>
          <cell r="I152">
            <v>274.99999999999966</v>
          </cell>
          <cell r="J152">
            <v>129249.99999999984</v>
          </cell>
          <cell r="K152">
            <v>0.27024793388429802</v>
          </cell>
          <cell r="L152">
            <v>327.00000000000063</v>
          </cell>
          <cell r="M152">
            <v>142550.30880220621</v>
          </cell>
          <cell r="N152">
            <v>271800.30880220607</v>
          </cell>
        </row>
        <row r="153">
          <cell r="E153">
            <v>4278</v>
          </cell>
          <cell r="F153" t="str">
            <v>Handsworth Grange Community Sports College</v>
          </cell>
          <cell r="G153">
            <v>1015</v>
          </cell>
          <cell r="H153">
            <v>0.279802955665025</v>
          </cell>
          <cell r="I153">
            <v>284.0000000000004</v>
          </cell>
          <cell r="J153">
            <v>133480.00000000017</v>
          </cell>
          <cell r="K153">
            <v>0.33004926108374399</v>
          </cell>
          <cell r="L153">
            <v>335.00000000000017</v>
          </cell>
          <cell r="M153">
            <v>146037.77813070035</v>
          </cell>
          <cell r="N153">
            <v>279517.77813070052</v>
          </cell>
        </row>
        <row r="154">
          <cell r="E154">
            <v>4257</v>
          </cell>
          <cell r="F154" t="str">
            <v>High Storrs School</v>
          </cell>
          <cell r="G154">
            <v>1206</v>
          </cell>
          <cell r="H154">
            <v>6.6334991708125998E-2</v>
          </cell>
          <cell r="I154">
            <v>79.999999999999957</v>
          </cell>
          <cell r="J154">
            <v>37599.999999999978</v>
          </cell>
          <cell r="K154">
            <v>9.1210613598673301E-2</v>
          </cell>
          <cell r="L154">
            <v>110</v>
          </cell>
          <cell r="M154">
            <v>47952.703266797107</v>
          </cell>
          <cell r="N154">
            <v>85552.703266797093</v>
          </cell>
        </row>
        <row r="155">
          <cell r="E155">
            <v>4230</v>
          </cell>
          <cell r="F155" t="str">
            <v>King Ecgbert School</v>
          </cell>
          <cell r="G155">
            <v>1034</v>
          </cell>
          <cell r="H155">
            <v>0.16731141199226299</v>
          </cell>
          <cell r="I155">
            <v>172.99999999999991</v>
          </cell>
          <cell r="J155">
            <v>81309.999999999956</v>
          </cell>
          <cell r="K155">
            <v>0.19632495164410099</v>
          </cell>
          <cell r="L155">
            <v>203.00000000000043</v>
          </cell>
          <cell r="M155">
            <v>88494.534210543934</v>
          </cell>
          <cell r="N155">
            <v>169804.5342105439</v>
          </cell>
        </row>
        <row r="156">
          <cell r="E156">
            <v>4259</v>
          </cell>
          <cell r="F156" t="str">
            <v>King Edward VII School</v>
          </cell>
          <cell r="G156">
            <v>1135</v>
          </cell>
          <cell r="H156">
            <v>0.25638766519823802</v>
          </cell>
          <cell r="I156">
            <v>291.00000000000017</v>
          </cell>
          <cell r="J156">
            <v>136770.00000000009</v>
          </cell>
          <cell r="K156">
            <v>0.3215859030837</v>
          </cell>
          <cell r="L156">
            <v>364.99999999999949</v>
          </cell>
          <cell r="M156">
            <v>159115.78811255383</v>
          </cell>
          <cell r="N156">
            <v>295885.78811255388</v>
          </cell>
        </row>
        <row r="157">
          <cell r="E157">
            <v>4279</v>
          </cell>
          <cell r="F157" t="str">
            <v>Meadowhead School Academy Trust</v>
          </cell>
          <cell r="G157">
            <v>1623</v>
          </cell>
          <cell r="H157">
            <v>0.26678989525569902</v>
          </cell>
          <cell r="I157">
            <v>432.99999999999949</v>
          </cell>
          <cell r="J157">
            <v>203509.99999999977</v>
          </cell>
          <cell r="K157">
            <v>0.31176833025261902</v>
          </cell>
          <cell r="L157">
            <v>506.00000000000068</v>
          </cell>
          <cell r="M157">
            <v>220582.435027267</v>
          </cell>
          <cell r="N157">
            <v>424092.43502726674</v>
          </cell>
        </row>
        <row r="158">
          <cell r="E158">
            <v>4015</v>
          </cell>
          <cell r="F158" t="str">
            <v>Mercia School</v>
          </cell>
          <cell r="G158">
            <v>716</v>
          </cell>
          <cell r="H158">
            <v>0.18494271685760999</v>
          </cell>
          <cell r="I158">
            <v>132.41898527004875</v>
          </cell>
          <cell r="J158">
            <v>62236.923076922911</v>
          </cell>
          <cell r="K158">
            <v>0.227495908346972</v>
          </cell>
          <cell r="L158">
            <v>162.88707037643195</v>
          </cell>
          <cell r="M158">
            <v>71007.957743263076</v>
          </cell>
          <cell r="N158">
            <v>133244.88082018599</v>
          </cell>
        </row>
        <row r="159">
          <cell r="E159">
            <v>4008</v>
          </cell>
          <cell r="F159" t="str">
            <v>Newfield Secondary School</v>
          </cell>
          <cell r="G159">
            <v>1032</v>
          </cell>
          <cell r="H159">
            <v>0.35562015503875999</v>
          </cell>
          <cell r="I159">
            <v>367.00000000000028</v>
          </cell>
          <cell r="J159">
            <v>172490.00000000015</v>
          </cell>
          <cell r="K159">
            <v>0.41957364341085301</v>
          </cell>
          <cell r="L159">
            <v>433.00000000000028</v>
          </cell>
          <cell r="M159">
            <v>188759.27740475602</v>
          </cell>
          <cell r="N159">
            <v>361249.27740475617</v>
          </cell>
        </row>
        <row r="160">
          <cell r="E160">
            <v>5400</v>
          </cell>
          <cell r="F160" t="str">
            <v>Notre Dame High School</v>
          </cell>
          <cell r="G160">
            <v>1066</v>
          </cell>
          <cell r="H160">
            <v>0.110694183864916</v>
          </cell>
          <cell r="I160">
            <v>118.00000000000045</v>
          </cell>
          <cell r="J160">
            <v>55460.000000000211</v>
          </cell>
          <cell r="K160">
            <v>0.14446529080675399</v>
          </cell>
          <cell r="L160">
            <v>153.99999999999974</v>
          </cell>
          <cell r="M160">
            <v>67133.784573515833</v>
          </cell>
          <cell r="N160">
            <v>122593.78457351605</v>
          </cell>
        </row>
        <row r="161">
          <cell r="E161">
            <v>4006</v>
          </cell>
          <cell r="F161" t="str">
            <v>Outwood Academy City</v>
          </cell>
          <cell r="G161">
            <v>1128</v>
          </cell>
          <cell r="H161">
            <v>0.37145390070922002</v>
          </cell>
          <cell r="I161">
            <v>419.00000000000017</v>
          </cell>
          <cell r="J161">
            <v>196930.00000000009</v>
          </cell>
          <cell r="K161">
            <v>0.42375886524822698</v>
          </cell>
          <cell r="L161">
            <v>478.00000000000006</v>
          </cell>
          <cell r="M161">
            <v>208376.29237753653</v>
          </cell>
          <cell r="N161">
            <v>405306.29237753665</v>
          </cell>
        </row>
        <row r="162">
          <cell r="E162">
            <v>6907</v>
          </cell>
          <cell r="F162" t="str">
            <v>Parkwood E-Act Academy</v>
          </cell>
          <cell r="G162">
            <v>806</v>
          </cell>
          <cell r="H162">
            <v>0.47394540942927998</v>
          </cell>
          <cell r="I162">
            <v>381.99999999999966</v>
          </cell>
          <cell r="J162">
            <v>179539.99999999983</v>
          </cell>
          <cell r="K162">
            <v>0.55334987593052098</v>
          </cell>
          <cell r="L162">
            <v>445.99999999999989</v>
          </cell>
          <cell r="M162">
            <v>194426.41506355914</v>
          </cell>
          <cell r="N162">
            <v>373966.41506355896</v>
          </cell>
        </row>
        <row r="163">
          <cell r="E163">
            <v>6905</v>
          </cell>
          <cell r="F163" t="str">
            <v>Sheffield Park Academy</v>
          </cell>
          <cell r="G163">
            <v>1010</v>
          </cell>
          <cell r="H163">
            <v>0.48415841584158398</v>
          </cell>
          <cell r="I163">
            <v>488.99999999999983</v>
          </cell>
          <cell r="J163">
            <v>229829.99999999991</v>
          </cell>
          <cell r="K163">
            <v>0.54356435643564405</v>
          </cell>
          <cell r="L163">
            <v>549.00000000000045</v>
          </cell>
          <cell r="M163">
            <v>239327.58266792394</v>
          </cell>
          <cell r="N163">
            <v>469157.58266792388</v>
          </cell>
        </row>
        <row r="164">
          <cell r="E164">
            <v>6906</v>
          </cell>
          <cell r="F164" t="str">
            <v>Sheffield Springs Academy</v>
          </cell>
          <cell r="G164">
            <v>939</v>
          </cell>
          <cell r="H164">
            <v>0.535676251331203</v>
          </cell>
          <cell r="I164">
            <v>502.9999999999996</v>
          </cell>
          <cell r="J164">
            <v>236409.99999999983</v>
          </cell>
          <cell r="K164">
            <v>0.63045793397231098</v>
          </cell>
          <cell r="L164">
            <v>592</v>
          </cell>
          <cell r="M164">
            <v>258072.73030858079</v>
          </cell>
          <cell r="N164">
            <v>494482.73030858062</v>
          </cell>
        </row>
        <row r="165">
          <cell r="E165">
            <v>4229</v>
          </cell>
          <cell r="F165" t="str">
            <v>Silverdale School</v>
          </cell>
          <cell r="G165">
            <v>1015</v>
          </cell>
          <cell r="H165">
            <v>0.12413793103448301</v>
          </cell>
          <cell r="I165">
            <v>126.00000000000026</v>
          </cell>
          <cell r="J165">
            <v>59220.000000000124</v>
          </cell>
          <cell r="K165">
            <v>0.147783251231527</v>
          </cell>
          <cell r="L165">
            <v>149.99999999999991</v>
          </cell>
          <cell r="M165">
            <v>65390.049909268746</v>
          </cell>
          <cell r="N165">
            <v>124610.04990926887</v>
          </cell>
        </row>
        <row r="166">
          <cell r="E166">
            <v>4271</v>
          </cell>
          <cell r="F166" t="str">
            <v>Stocksbridge High School</v>
          </cell>
          <cell r="G166">
            <v>798</v>
          </cell>
          <cell r="H166">
            <v>0.25313283208019999</v>
          </cell>
          <cell r="I166">
            <v>201.9999999999996</v>
          </cell>
          <cell r="J166">
            <v>94939.999999999811</v>
          </cell>
          <cell r="K166">
            <v>0.30576441102756902</v>
          </cell>
          <cell r="L166">
            <v>244.00000000000009</v>
          </cell>
          <cell r="M166">
            <v>106367.81451907726</v>
          </cell>
          <cell r="N166">
            <v>201307.81451907707</v>
          </cell>
        </row>
        <row r="167">
          <cell r="E167">
            <v>4234</v>
          </cell>
          <cell r="F167" t="str">
            <v>Tapton School</v>
          </cell>
          <cell r="G167">
            <v>1354</v>
          </cell>
          <cell r="H167">
            <v>0.13663220088626299</v>
          </cell>
          <cell r="I167">
            <v>185.00000000000009</v>
          </cell>
          <cell r="J167">
            <v>86950.000000000044</v>
          </cell>
          <cell r="K167">
            <v>0.16248153618906899</v>
          </cell>
          <cell r="L167">
            <v>219.9999999999994</v>
          </cell>
          <cell r="M167">
            <v>95905.406533593952</v>
          </cell>
          <cell r="N167">
            <v>182855.40653359401</v>
          </cell>
        </row>
        <row r="168">
          <cell r="E168">
            <v>4276</v>
          </cell>
          <cell r="F168" t="str">
            <v>The Birley Academy</v>
          </cell>
          <cell r="G168">
            <v>1074</v>
          </cell>
          <cell r="H168">
            <v>0.303538175046555</v>
          </cell>
          <cell r="I168">
            <v>326.00000000000006</v>
          </cell>
          <cell r="J168">
            <v>153220.00000000003</v>
          </cell>
          <cell r="K168">
            <v>0.339851024208566</v>
          </cell>
          <cell r="L168">
            <v>364.99999999999989</v>
          </cell>
          <cell r="M168">
            <v>159115.788112554</v>
          </cell>
          <cell r="N168">
            <v>312335.788112554</v>
          </cell>
        </row>
        <row r="169">
          <cell r="E169">
            <v>4004</v>
          </cell>
          <cell r="F169" t="str">
            <v>UTC Sheffield City Centre</v>
          </cell>
          <cell r="G169">
            <v>313</v>
          </cell>
          <cell r="H169">
            <v>0.194888178913738</v>
          </cell>
          <cell r="I169">
            <v>60.999999999999993</v>
          </cell>
          <cell r="J169">
            <v>28669.999999999996</v>
          </cell>
          <cell r="K169">
            <v>0.28115015974440899</v>
          </cell>
          <cell r="L169">
            <v>88.000000000000014</v>
          </cell>
          <cell r="M169">
            <v>38362.162613437693</v>
          </cell>
          <cell r="N169">
            <v>67032.162613437686</v>
          </cell>
        </row>
        <row r="170">
          <cell r="E170">
            <v>4010</v>
          </cell>
          <cell r="F170" t="str">
            <v>UTC Sheffield Olympic Legacy Park</v>
          </cell>
          <cell r="G170">
            <v>302</v>
          </cell>
          <cell r="H170">
            <v>0.25496688741721901</v>
          </cell>
          <cell r="I170">
            <v>77.000000000000142</v>
          </cell>
          <cell r="J170">
            <v>36190.000000000065</v>
          </cell>
          <cell r="K170">
            <v>0.30794701986755002</v>
          </cell>
          <cell r="L170">
            <v>93.000000000000099</v>
          </cell>
          <cell r="M170">
            <v>40541.830943746689</v>
          </cell>
          <cell r="N170">
            <v>76731.830943746754</v>
          </cell>
        </row>
        <row r="171">
          <cell r="E171">
            <v>4013</v>
          </cell>
          <cell r="F171" t="str">
            <v>Westfield School</v>
          </cell>
          <cell r="G171">
            <v>1191</v>
          </cell>
          <cell r="H171">
            <v>0.22502099076406401</v>
          </cell>
          <cell r="I171">
            <v>268.00000000000023</v>
          </cell>
          <cell r="J171">
            <v>125960.0000000001</v>
          </cell>
          <cell r="K171">
            <v>0.26952141057934498</v>
          </cell>
          <cell r="L171">
            <v>320.99999999999989</v>
          </cell>
          <cell r="M171">
            <v>139934.70680583516</v>
          </cell>
          <cell r="N171">
            <v>265894.70680583525</v>
          </cell>
        </row>
        <row r="172">
          <cell r="E172">
            <v>4016</v>
          </cell>
          <cell r="F172" t="str">
            <v>Yewlands Academy</v>
          </cell>
          <cell r="G172">
            <v>876</v>
          </cell>
          <cell r="H172">
            <v>0.35502283105022803</v>
          </cell>
          <cell r="I172">
            <v>310.99999999999977</v>
          </cell>
          <cell r="J172">
            <v>146169.99999999988</v>
          </cell>
          <cell r="K172">
            <v>0.41324200913241999</v>
          </cell>
          <cell r="L172">
            <v>361.99999999999989</v>
          </cell>
          <cell r="M172">
            <v>157807.98711436862</v>
          </cell>
          <cell r="N172">
            <v>303977.98711436847</v>
          </cell>
        </row>
        <row r="174">
          <cell r="F174" t="str">
            <v>Total Secondary</v>
          </cell>
          <cell r="G174">
            <v>27571</v>
          </cell>
          <cell r="H174">
            <v>0.28390043833267015</v>
          </cell>
          <cell r="I174">
            <v>7827.4189852700492</v>
          </cell>
          <cell r="J174">
            <v>3678886.9230769235</v>
          </cell>
          <cell r="K174">
            <v>0.3342238972244907</v>
          </cell>
          <cell r="L174">
            <v>9214.8870703764333</v>
          </cell>
          <cell r="M174">
            <v>4017079.502934603</v>
          </cell>
          <cell r="N174">
            <v>7695966.4260115251</v>
          </cell>
        </row>
        <row r="176">
          <cell r="F176" t="str">
            <v>Middle Deemed Secondary</v>
          </cell>
        </row>
        <row r="178">
          <cell r="E178">
            <v>4014</v>
          </cell>
          <cell r="F178" t="str">
            <v>Astrea Academy Sheffield</v>
          </cell>
          <cell r="G178">
            <v>891.5</v>
          </cell>
          <cell r="H178">
            <v>0.48901657177949365</v>
          </cell>
          <cell r="I178">
            <v>435.95827374141857</v>
          </cell>
          <cell r="J178">
            <v>196607.79835566031</v>
          </cell>
          <cell r="K178">
            <v>0.54932389680827476</v>
          </cell>
          <cell r="L178">
            <v>489.72225400457694</v>
          </cell>
          <cell r="M178">
            <v>216654.16890880754</v>
          </cell>
          <cell r="N178">
            <v>413261.96726446785</v>
          </cell>
        </row>
        <row r="179">
          <cell r="E179">
            <v>4225</v>
          </cell>
          <cell r="F179" t="str">
            <v>Hinde House 3-16 School</v>
          </cell>
          <cell r="G179">
            <v>1282</v>
          </cell>
          <cell r="H179">
            <v>0.44851794071762896</v>
          </cell>
          <cell r="I179">
            <v>575.00000000000034</v>
          </cell>
          <cell r="J179">
            <v>250133.98992952053</v>
          </cell>
          <cell r="K179">
            <v>0.5109204368174729</v>
          </cell>
          <cell r="L179">
            <v>655.00000000000023</v>
          </cell>
          <cell r="M179">
            <v>293790.02846899605</v>
          </cell>
          <cell r="N179">
            <v>543924.01839851658</v>
          </cell>
        </row>
        <row r="180">
          <cell r="E180">
            <v>4005</v>
          </cell>
          <cell r="F180" t="str">
            <v>Oasis Academy Don Valley</v>
          </cell>
          <cell r="G180">
            <v>997.75</v>
          </cell>
          <cell r="H180">
            <v>0.43158335930640662</v>
          </cell>
          <cell r="I180">
            <v>430.61229674796721</v>
          </cell>
          <cell r="J180">
            <v>187019.16551668412</v>
          </cell>
          <cell r="K180">
            <v>0.48596191023298346</v>
          </cell>
          <cell r="L180">
            <v>484.86849593495924</v>
          </cell>
          <cell r="M180">
            <v>218010.5521458282</v>
          </cell>
          <cell r="N180">
            <v>405029.71766251232</v>
          </cell>
        </row>
        <row r="182">
          <cell r="F182" t="str">
            <v>Total Middle Deemed Secondary</v>
          </cell>
          <cell r="G182">
            <v>3171.25</v>
          </cell>
          <cell r="H182">
            <v>0.45457487441525779</v>
          </cell>
          <cell r="I182">
            <v>1441.5705704893862</v>
          </cell>
          <cell r="J182">
            <v>633760.95380186499</v>
          </cell>
          <cell r="K182">
            <v>0.51386385492772146</v>
          </cell>
          <cell r="L182">
            <v>1629.5907499395366</v>
          </cell>
          <cell r="M182">
            <v>728454.74952363176</v>
          </cell>
          <cell r="N182">
            <v>1362215.7033254968</v>
          </cell>
        </row>
        <row r="184">
          <cell r="F184" t="str">
            <v>Total All Schools</v>
          </cell>
          <cell r="G184">
            <v>73809.25</v>
          </cell>
          <cell r="H184">
            <v>0.31249456613851834</v>
          </cell>
          <cell r="I184">
            <v>23064.989555759435</v>
          </cell>
          <cell r="J184">
            <v>9328405.5756494924</v>
          </cell>
          <cell r="K184">
            <v>0.343689684156335</v>
          </cell>
          <cell r="L184">
            <v>25367.477820315969</v>
          </cell>
          <cell r="M184">
            <v>11667068.093314715</v>
          </cell>
          <cell r="N184">
            <v>20995473.668964203</v>
          </cell>
        </row>
        <row r="185">
          <cell r="G185">
            <v>0</v>
          </cell>
          <cell r="J185">
            <v>-134897.08868654072</v>
          </cell>
          <cell r="M185">
            <v>0</v>
          </cell>
          <cell r="N185">
            <v>-134897.088686537</v>
          </cell>
        </row>
        <row r="187">
          <cell r="E187">
            <v>4014</v>
          </cell>
          <cell r="F187" t="str">
            <v>Astrea Academy - Pri</v>
          </cell>
          <cell r="G187">
            <v>196</v>
          </cell>
          <cell r="H187">
            <v>0.39751552795031098</v>
          </cell>
          <cell r="I187">
            <v>77.913043478260946</v>
          </cell>
          <cell r="J187">
            <v>28326.54013197621</v>
          </cell>
          <cell r="K187">
            <v>0.39751552795031098</v>
          </cell>
          <cell r="L187">
            <v>77.913043478260946</v>
          </cell>
          <cell r="M187">
            <v>37132.670046058345</v>
          </cell>
          <cell r="N187">
            <v>65459.210178034555</v>
          </cell>
        </row>
        <row r="188">
          <cell r="E188">
            <v>4014</v>
          </cell>
          <cell r="F188" t="str">
            <v>Astrea Academy - Sec</v>
          </cell>
          <cell r="G188">
            <v>695.5</v>
          </cell>
          <cell r="H188">
            <v>0.51480263157894701</v>
          </cell>
          <cell r="I188">
            <v>358.04523026315763</v>
          </cell>
          <cell r="J188">
            <v>168281.2582236841</v>
          </cell>
          <cell r="K188">
            <v>0.59210526315789502</v>
          </cell>
          <cell r="L188">
            <v>411.80921052631601</v>
          </cell>
          <cell r="M188">
            <v>179521.4988627492</v>
          </cell>
          <cell r="N188">
            <v>347802.7570864333</v>
          </cell>
        </row>
        <row r="189">
          <cell r="G189">
            <v>891.5</v>
          </cell>
          <cell r="H189">
            <v>0.48901657177949365</v>
          </cell>
          <cell r="I189">
            <v>435.95827374141857</v>
          </cell>
          <cell r="J189">
            <v>196607.79835566031</v>
          </cell>
          <cell r="K189">
            <v>0.54932389680827476</v>
          </cell>
          <cell r="L189">
            <v>489.72225400457694</v>
          </cell>
          <cell r="M189">
            <v>216654.16890880754</v>
          </cell>
          <cell r="N189">
            <v>413261.96726446785</v>
          </cell>
        </row>
        <row r="191">
          <cell r="E191">
            <v>4225</v>
          </cell>
          <cell r="F191" t="str">
            <v>Hinde House - Pri</v>
          </cell>
          <cell r="G191">
            <v>427</v>
          </cell>
          <cell r="H191">
            <v>0.44262295081967201</v>
          </cell>
          <cell r="I191">
            <v>188.99999999999994</v>
          </cell>
          <cell r="J191">
            <v>68713.989929520336</v>
          </cell>
          <cell r="K191">
            <v>0.47540983606557402</v>
          </cell>
          <cell r="L191">
            <v>203.00000000000011</v>
          </cell>
          <cell r="M191">
            <v>96748.011409066035</v>
          </cell>
          <cell r="N191">
            <v>165462.00133858639</v>
          </cell>
        </row>
        <row r="192">
          <cell r="E192">
            <v>4225</v>
          </cell>
          <cell r="F192" t="str">
            <v>Hinde House - Sec</v>
          </cell>
          <cell r="G192">
            <v>855</v>
          </cell>
          <cell r="H192">
            <v>0.45146198830409401</v>
          </cell>
          <cell r="I192">
            <v>386.0000000000004</v>
          </cell>
          <cell r="J192">
            <v>181420.00000000017</v>
          </cell>
          <cell r="K192">
            <v>0.52865497076023404</v>
          </cell>
          <cell r="L192">
            <v>452.00000000000011</v>
          </cell>
          <cell r="M192">
            <v>197042.01705992999</v>
          </cell>
          <cell r="N192">
            <v>378462.01705993013</v>
          </cell>
        </row>
        <row r="193">
          <cell r="G193">
            <v>1282</v>
          </cell>
          <cell r="H193">
            <v>0.44851794071762896</v>
          </cell>
          <cell r="I193">
            <v>575.00000000000034</v>
          </cell>
          <cell r="J193">
            <v>250133.98992952053</v>
          </cell>
          <cell r="K193">
            <v>0.5109204368174729</v>
          </cell>
          <cell r="L193">
            <v>655.00000000000023</v>
          </cell>
          <cell r="M193">
            <v>293790.02846899605</v>
          </cell>
          <cell r="N193">
            <v>543924.01839851658</v>
          </cell>
        </row>
        <row r="195">
          <cell r="E195">
            <v>4005</v>
          </cell>
          <cell r="F195" t="str">
            <v>Oasis Don Valley - Pri</v>
          </cell>
          <cell r="G195">
            <v>418.25</v>
          </cell>
          <cell r="H195">
            <v>0.34523809523809501</v>
          </cell>
          <cell r="I195">
            <v>144.39583333333323</v>
          </cell>
          <cell r="J195">
            <v>52497.427711806129</v>
          </cell>
          <cell r="K195">
            <v>0.39047619047618998</v>
          </cell>
          <cell r="L195">
            <v>163.31666666666646</v>
          </cell>
          <cell r="M195">
            <v>77835.284384025974</v>
          </cell>
          <cell r="N195">
            <v>130332.7120958321</v>
          </cell>
        </row>
        <row r="196">
          <cell r="E196">
            <v>4005</v>
          </cell>
          <cell r="F196" t="str">
            <v>Oasis Don Valley - Sec</v>
          </cell>
          <cell r="G196">
            <v>579.5</v>
          </cell>
          <cell r="H196">
            <v>0.49390243902439002</v>
          </cell>
          <cell r="I196">
            <v>286.21646341463401</v>
          </cell>
          <cell r="J196">
            <v>134521.73780487798</v>
          </cell>
          <cell r="K196">
            <v>0.55487804878048796</v>
          </cell>
          <cell r="L196">
            <v>321.55182926829275</v>
          </cell>
          <cell r="M196">
            <v>140175.26776180224</v>
          </cell>
          <cell r="N196">
            <v>274697.00556668022</v>
          </cell>
        </row>
        <row r="197">
          <cell r="G197">
            <v>997.75</v>
          </cell>
          <cell r="H197">
            <v>0.43158335930640662</v>
          </cell>
          <cell r="I197">
            <v>430.61229674796721</v>
          </cell>
          <cell r="J197">
            <v>187019.16551668412</v>
          </cell>
          <cell r="K197">
            <v>0.48596191023298346</v>
          </cell>
          <cell r="L197">
            <v>484.86849593495924</v>
          </cell>
          <cell r="M197">
            <v>218010.5521458282</v>
          </cell>
          <cell r="N197">
            <v>405029.71766251232</v>
          </cell>
        </row>
        <row r="200">
          <cell r="H200" t="str">
            <v>Primary</v>
          </cell>
          <cell r="I200">
            <v>14207.308876811594</v>
          </cell>
          <cell r="J200">
            <v>5165295.6565440046</v>
          </cell>
          <cell r="L200">
            <v>14967.229710144926</v>
          </cell>
          <cell r="M200">
            <v>7133249.8066956289</v>
          </cell>
          <cell r="N200">
            <v>12298545.463239633</v>
          </cell>
        </row>
        <row r="201">
          <cell r="H201" t="str">
            <v>Secondary</v>
          </cell>
          <cell r="I201">
            <v>8857.6806789478414</v>
          </cell>
          <cell r="J201">
            <v>4163109.9191054855</v>
          </cell>
          <cell r="L201">
            <v>10400.248110171044</v>
          </cell>
          <cell r="M201">
            <v>4533818.2866190858</v>
          </cell>
          <cell r="N201">
            <v>8696928.2057245709</v>
          </cell>
        </row>
        <row r="202">
          <cell r="I202">
            <v>23064.989555759435</v>
          </cell>
          <cell r="J202">
            <v>9328405.5756494906</v>
          </cell>
          <cell r="L202">
            <v>25367.477820315969</v>
          </cell>
          <cell r="M202">
            <v>11667068.093314715</v>
          </cell>
          <cell r="N202">
            <v>20995473.668964207</v>
          </cell>
        </row>
        <row r="203">
          <cell r="I203">
            <v>0</v>
          </cell>
        </row>
        <row r="204">
          <cell r="H204" t="str">
            <v>Primary</v>
          </cell>
          <cell r="I204">
            <v>13796</v>
          </cell>
          <cell r="J204">
            <v>5015757.6987707028</v>
          </cell>
          <cell r="K204">
            <v>5015757.6987707019</v>
          </cell>
        </row>
        <row r="205">
          <cell r="I205">
            <v>77.913043478260946</v>
          </cell>
          <cell r="J205">
            <v>28326.54013197621</v>
          </cell>
          <cell r="K205">
            <v>28326.54013197621</v>
          </cell>
        </row>
        <row r="206">
          <cell r="I206">
            <v>188.99999999999994</v>
          </cell>
          <cell r="J206">
            <v>68713.989929520336</v>
          </cell>
          <cell r="K206">
            <v>68713.989929520336</v>
          </cell>
        </row>
        <row r="207">
          <cell r="I207">
            <v>144.39583333333323</v>
          </cell>
          <cell r="J207">
            <v>52497.427711806129</v>
          </cell>
          <cell r="K207">
            <v>52497.427711806129</v>
          </cell>
        </row>
        <row r="208">
          <cell r="I208">
            <v>14207.308876811594</v>
          </cell>
          <cell r="J208">
            <v>5165295.6565440055</v>
          </cell>
          <cell r="K208">
            <v>5165295.6565440046</v>
          </cell>
          <cell r="L208">
            <v>363.56608428317645</v>
          </cell>
        </row>
        <row r="210">
          <cell r="H210" t="str">
            <v>Secondary</v>
          </cell>
          <cell r="I210">
            <v>7827.4189852700492</v>
          </cell>
          <cell r="J210">
            <v>3678886.9230769235</v>
          </cell>
          <cell r="K210">
            <v>3678886.923076923</v>
          </cell>
        </row>
        <row r="211">
          <cell r="I211">
            <v>358.04523026315763</v>
          </cell>
          <cell r="J211">
            <v>168281.2582236841</v>
          </cell>
          <cell r="K211">
            <v>168281.2582236841</v>
          </cell>
        </row>
        <row r="212">
          <cell r="I212">
            <v>386.0000000000004</v>
          </cell>
          <cell r="J212">
            <v>181420.00000000017</v>
          </cell>
          <cell r="K212">
            <v>181420.00000000017</v>
          </cell>
        </row>
        <row r="213">
          <cell r="I213">
            <v>286.21646341463401</v>
          </cell>
          <cell r="J213">
            <v>134521.73780487798</v>
          </cell>
          <cell r="K213">
            <v>134521.73780487798</v>
          </cell>
        </row>
        <row r="214">
          <cell r="I214">
            <v>8857.6806789478414</v>
          </cell>
          <cell r="J214">
            <v>4163109.9191054855</v>
          </cell>
          <cell r="K214">
            <v>4163109.9191054855</v>
          </cell>
          <cell r="L214">
            <v>470</v>
          </cell>
        </row>
        <row r="217">
          <cell r="H217" t="str">
            <v>NFF</v>
          </cell>
          <cell r="I217" t="str">
            <v>FSM</v>
          </cell>
          <cell r="J217" t="str">
            <v>Ever6</v>
          </cell>
        </row>
        <row r="218">
          <cell r="G218" t="str">
            <v>NFF Amount£</v>
          </cell>
          <cell r="H218" t="str">
            <v>Primary</v>
          </cell>
          <cell r="I218">
            <v>470</v>
          </cell>
          <cell r="J218">
            <v>590</v>
          </cell>
        </row>
        <row r="219">
          <cell r="H219" t="str">
            <v>Secondary</v>
          </cell>
          <cell r="I219">
            <v>470</v>
          </cell>
          <cell r="J219">
            <v>865</v>
          </cell>
        </row>
        <row r="221">
          <cell r="G221" t="str">
            <v>Pupil Nos.</v>
          </cell>
          <cell r="H221" t="str">
            <v>Primary</v>
          </cell>
          <cell r="I221">
            <v>14207.308876811594</v>
          </cell>
          <cell r="J221">
            <v>14967.229710144926</v>
          </cell>
        </row>
        <row r="222">
          <cell r="H222" t="str">
            <v>Secondary</v>
          </cell>
          <cell r="I222">
            <v>8857.6806789478414</v>
          </cell>
          <cell r="J222">
            <v>10400.248110171044</v>
          </cell>
        </row>
        <row r="224">
          <cell r="G224" t="str">
            <v>Funding Req. £</v>
          </cell>
          <cell r="H224" t="str">
            <v>Primary</v>
          </cell>
          <cell r="I224">
            <v>6677435.1721014492</v>
          </cell>
          <cell r="J224">
            <v>8830665.5289855059</v>
          </cell>
        </row>
        <row r="225">
          <cell r="H225" t="str">
            <v>Secondary</v>
          </cell>
          <cell r="I225">
            <v>4163109.9191054855</v>
          </cell>
          <cell r="J225">
            <v>8996214.6152979527</v>
          </cell>
        </row>
        <row r="226">
          <cell r="I226">
            <v>10840545.091206934</v>
          </cell>
          <cell r="J226">
            <v>17826880.144283459</v>
          </cell>
        </row>
        <row r="227">
          <cell r="I227" t="str">
            <v>FSM</v>
          </cell>
          <cell r="J227" t="str">
            <v>Ever6</v>
          </cell>
        </row>
        <row r="228">
          <cell r="G228" t="str">
            <v>Proportion %</v>
          </cell>
          <cell r="H228" t="str">
            <v>Primary</v>
          </cell>
          <cell r="I228">
            <v>0.23292762141173237</v>
          </cell>
          <cell r="J228">
            <v>0.30803832072275206</v>
          </cell>
        </row>
        <row r="229">
          <cell r="H229" t="str">
            <v>Secondary</v>
          </cell>
          <cell r="I229">
            <v>0.182</v>
          </cell>
          <cell r="J229">
            <v>0.27800000000000002</v>
          </cell>
          <cell r="K229">
            <v>0.46</v>
          </cell>
        </row>
        <row r="230">
          <cell r="I230">
            <v>0.41492762141173234</v>
          </cell>
          <cell r="J230">
            <v>0.58603832072275208</v>
          </cell>
        </row>
        <row r="232">
          <cell r="I232">
            <v>20860576.580277666</v>
          </cell>
        </row>
        <row r="233">
          <cell r="G233" t="str">
            <v>Sheff Amount £</v>
          </cell>
          <cell r="H233" t="str">
            <v>Primary</v>
          </cell>
          <cell r="I233">
            <v>5165295.6565440046</v>
          </cell>
          <cell r="J233">
            <v>7133249.8066956289</v>
          </cell>
        </row>
        <row r="234">
          <cell r="H234" t="str">
            <v>Secondary</v>
          </cell>
          <cell r="I234">
            <v>4028212.8304189467</v>
          </cell>
          <cell r="J234">
            <v>4533818.2866190858</v>
          </cell>
          <cell r="K234">
            <v>0</v>
          </cell>
        </row>
        <row r="235">
          <cell r="I235">
            <v>9193508.4869629517</v>
          </cell>
          <cell r="J235">
            <v>11667068.093314715</v>
          </cell>
          <cell r="K235" t="str">
            <v>Amounts to use</v>
          </cell>
        </row>
        <row r="236">
          <cell r="I236" t="str">
            <v>FSM</v>
          </cell>
          <cell r="J236" t="str">
            <v>Ever6</v>
          </cell>
          <cell r="K236" t="str">
            <v>FSM</v>
          </cell>
          <cell r="L236" t="str">
            <v>Ever6</v>
          </cell>
        </row>
        <row r="237">
          <cell r="G237" t="str">
            <v>New Amount£</v>
          </cell>
          <cell r="H237" t="str">
            <v>Primary</v>
          </cell>
          <cell r="I237">
            <v>363.56608428317645</v>
          </cell>
          <cell r="J237">
            <v>476.59118920722159</v>
          </cell>
          <cell r="K237">
            <v>363.56608428317645</v>
          </cell>
          <cell r="L237">
            <v>476.59118920722159</v>
          </cell>
        </row>
        <row r="238">
          <cell r="H238" t="str">
            <v>Secondary</v>
          </cell>
          <cell r="I238">
            <v>454.7706082917224</v>
          </cell>
          <cell r="J238">
            <v>435.93366606179188</v>
          </cell>
          <cell r="K238">
            <v>454.7706082917224</v>
          </cell>
          <cell r="L238">
            <v>435.93366606179188</v>
          </cell>
        </row>
        <row r="240">
          <cell r="H240">
            <v>0.5</v>
          </cell>
          <cell r="I240">
            <v>0.43273574574050461</v>
          </cell>
          <cell r="J240">
            <v>0.56726425425949545</v>
          </cell>
        </row>
        <row r="241">
          <cell r="I241">
            <v>0.51057418425638668</v>
          </cell>
          <cell r="J241">
            <v>0.48942581574361332</v>
          </cell>
        </row>
        <row r="243">
          <cell r="H243" t="str">
            <v>Balance sheet</v>
          </cell>
          <cell r="I243">
            <v>0.2163678728702523</v>
          </cell>
          <cell r="J243">
            <v>0.28363212712974772</v>
          </cell>
        </row>
        <row r="244">
          <cell r="I244">
            <v>0.25528709212819334</v>
          </cell>
          <cell r="J244">
            <v>0.24471290787180666</v>
          </cell>
        </row>
      </sheetData>
      <sheetData sheetId="22">
        <row r="3">
          <cell r="F3" t="str">
            <v>High Incidence SEN</v>
          </cell>
          <cell r="G3" t="str">
            <v>2022-23</v>
          </cell>
        </row>
        <row r="4">
          <cell r="F4" t="str">
            <v xml:space="preserve">Funding Allocated by Low Prior Attainment </v>
          </cell>
          <cell r="AH4">
            <v>1130</v>
          </cell>
        </row>
        <row r="5">
          <cell r="E5">
            <v>1</v>
          </cell>
          <cell r="F5">
            <v>2</v>
          </cell>
          <cell r="G5">
            <v>3</v>
          </cell>
          <cell r="H5">
            <v>4</v>
          </cell>
          <cell r="I5">
            <v>5</v>
          </cell>
          <cell r="J5">
            <v>6</v>
          </cell>
          <cell r="K5">
            <v>7</v>
          </cell>
          <cell r="N5">
            <v>8</v>
          </cell>
          <cell r="O5">
            <v>9</v>
          </cell>
          <cell r="P5">
            <v>10</v>
          </cell>
          <cell r="Q5">
            <v>11</v>
          </cell>
          <cell r="R5">
            <v>12</v>
          </cell>
          <cell r="S5">
            <v>13</v>
          </cell>
          <cell r="U5">
            <v>14</v>
          </cell>
          <cell r="V5">
            <v>15</v>
          </cell>
          <cell r="W5">
            <v>16</v>
          </cell>
          <cell r="X5">
            <v>17</v>
          </cell>
          <cell r="Z5">
            <v>18</v>
          </cell>
          <cell r="AA5">
            <v>19</v>
          </cell>
        </row>
        <row r="6">
          <cell r="E6" t="str">
            <v>DfE No.</v>
          </cell>
          <cell r="F6" t="str">
            <v>School</v>
          </cell>
          <cell r="G6" t="str">
            <v>Pupils NOR</v>
          </cell>
          <cell r="H6" t="str">
            <v>Recep</v>
          </cell>
          <cell r="I6" t="str">
            <v>NOR Y1-6</v>
          </cell>
          <cell r="N6" t="str">
            <v>check breakdown &lt;&gt; NOR</v>
          </cell>
          <cell r="O6" t="str">
            <v>Orig. Low Attain Y1-6 under new EYSFP %</v>
          </cell>
          <cell r="P6" t="str">
            <v>Low Attain Y1-6 under new EYSFP %</v>
          </cell>
          <cell r="S6" t="str">
            <v>No. of Low Attain Pupils Y1-6</v>
          </cell>
          <cell r="Z6" t="str">
            <v>Low Attaining Pupils</v>
          </cell>
          <cell r="AA6" t="str">
            <v>2022-23 Allocation</v>
          </cell>
        </row>
        <row r="7">
          <cell r="O7">
            <v>1</v>
          </cell>
          <cell r="P7">
            <v>1</v>
          </cell>
          <cell r="AA7" t="str">
            <v>£</v>
          </cell>
        </row>
        <row r="8">
          <cell r="H8">
            <v>14</v>
          </cell>
          <cell r="I8">
            <v>15</v>
          </cell>
          <cell r="O8">
            <v>50</v>
          </cell>
          <cell r="P8" t="str">
            <v>Weighted</v>
          </cell>
          <cell r="X8" t="str">
            <v>check apt</v>
          </cell>
        </row>
        <row r="9">
          <cell r="E9">
            <v>2001</v>
          </cell>
          <cell r="F9" t="str">
            <v>Abbey Lane Primary School</v>
          </cell>
          <cell r="G9">
            <v>557</v>
          </cell>
          <cell r="H9">
            <v>61</v>
          </cell>
          <cell r="I9">
            <v>496</v>
          </cell>
          <cell r="N9">
            <v>0</v>
          </cell>
          <cell r="O9">
            <v>0.20134228187919462</v>
          </cell>
          <cell r="P9">
            <v>0.20134228187919462</v>
          </cell>
          <cell r="S9">
            <v>99.865771812080524</v>
          </cell>
          <cell r="U9">
            <v>0</v>
          </cell>
          <cell r="W9">
            <v>0</v>
          </cell>
          <cell r="X9">
            <v>112.1476510067114</v>
          </cell>
          <cell r="Z9">
            <v>112.1476510067114</v>
          </cell>
          <cell r="AA9">
            <v>126726.84563758389</v>
          </cell>
        </row>
        <row r="10">
          <cell r="E10">
            <v>2046</v>
          </cell>
          <cell r="F10" t="str">
            <v>Abbeyfield Primary Academy</v>
          </cell>
          <cell r="G10">
            <v>354</v>
          </cell>
          <cell r="H10">
            <v>33</v>
          </cell>
          <cell r="I10">
            <v>321</v>
          </cell>
          <cell r="N10">
            <v>0</v>
          </cell>
          <cell r="O10">
            <v>0.33703703703703702</v>
          </cell>
          <cell r="P10">
            <v>0.33703703703703702</v>
          </cell>
          <cell r="S10">
            <v>108.18888888888888</v>
          </cell>
          <cell r="U10">
            <v>0</v>
          </cell>
          <cell r="W10">
            <v>0</v>
          </cell>
          <cell r="X10">
            <v>119.3111111111111</v>
          </cell>
          <cell r="Z10">
            <v>119.3111111111111</v>
          </cell>
          <cell r="AA10">
            <v>134821.55555555553</v>
          </cell>
        </row>
        <row r="11">
          <cell r="E11">
            <v>2048</v>
          </cell>
          <cell r="F11" t="str">
            <v>Acres Hill Community Primary School</v>
          </cell>
          <cell r="G11">
            <v>194</v>
          </cell>
          <cell r="H11">
            <v>30</v>
          </cell>
          <cell r="I11">
            <v>164</v>
          </cell>
          <cell r="N11">
            <v>0</v>
          </cell>
          <cell r="O11">
            <v>0.43396226415094341</v>
          </cell>
          <cell r="P11">
            <v>0.43396226415094341</v>
          </cell>
          <cell r="S11">
            <v>71.169811320754718</v>
          </cell>
          <cell r="U11">
            <v>0</v>
          </cell>
          <cell r="W11">
            <v>0</v>
          </cell>
          <cell r="X11">
            <v>84.188679245283026</v>
          </cell>
          <cell r="Z11">
            <v>84.188679245283026</v>
          </cell>
          <cell r="AA11">
            <v>95133.207547169819</v>
          </cell>
        </row>
        <row r="12">
          <cell r="E12">
            <v>2342</v>
          </cell>
          <cell r="F12" t="str">
            <v>Angram Bank Primary School</v>
          </cell>
          <cell r="G12">
            <v>195</v>
          </cell>
          <cell r="H12">
            <v>29</v>
          </cell>
          <cell r="I12">
            <v>166</v>
          </cell>
          <cell r="N12">
            <v>0</v>
          </cell>
          <cell r="O12">
            <v>0.25641025641025639</v>
          </cell>
          <cell r="P12">
            <v>0.25641025641025639</v>
          </cell>
          <cell r="S12">
            <v>42.564102564102562</v>
          </cell>
          <cell r="U12">
            <v>0</v>
          </cell>
          <cell r="W12">
            <v>0</v>
          </cell>
          <cell r="X12">
            <v>49.999999999999993</v>
          </cell>
          <cell r="Z12">
            <v>49.999999999999993</v>
          </cell>
          <cell r="AA12">
            <v>56499.999999999993</v>
          </cell>
        </row>
        <row r="13">
          <cell r="E13">
            <v>2343</v>
          </cell>
          <cell r="F13" t="str">
            <v>Anns Grove Primary School</v>
          </cell>
          <cell r="G13">
            <v>324</v>
          </cell>
          <cell r="H13">
            <v>60</v>
          </cell>
          <cell r="I13">
            <v>264</v>
          </cell>
          <cell r="N13">
            <v>0</v>
          </cell>
          <cell r="O13">
            <v>0.24409448818897639</v>
          </cell>
          <cell r="P13">
            <v>0.24409448818897639</v>
          </cell>
          <cell r="S13">
            <v>64.440944881889763</v>
          </cell>
          <cell r="U13">
            <v>0</v>
          </cell>
          <cell r="W13">
            <v>0</v>
          </cell>
          <cell r="X13">
            <v>79.086614173228355</v>
          </cell>
          <cell r="Z13">
            <v>79.086614173228355</v>
          </cell>
          <cell r="AA13">
            <v>89367.874015748035</v>
          </cell>
        </row>
        <row r="14">
          <cell r="E14">
            <v>3429</v>
          </cell>
          <cell r="F14" t="str">
            <v>Arbourthorne Community Primary School</v>
          </cell>
          <cell r="G14">
            <v>403</v>
          </cell>
          <cell r="H14">
            <v>58</v>
          </cell>
          <cell r="I14">
            <v>345</v>
          </cell>
          <cell r="N14">
            <v>0</v>
          </cell>
          <cell r="O14">
            <v>0.51594202898550723</v>
          </cell>
          <cell r="P14">
            <v>0.51594202898550723</v>
          </cell>
          <cell r="S14">
            <v>178</v>
          </cell>
          <cell r="U14">
            <v>0</v>
          </cell>
          <cell r="W14">
            <v>0</v>
          </cell>
          <cell r="X14">
            <v>207.92463768115942</v>
          </cell>
          <cell r="Z14">
            <v>207.92463768115942</v>
          </cell>
          <cell r="AA14">
            <v>234954.84057971014</v>
          </cell>
        </row>
        <row r="15">
          <cell r="E15">
            <v>2340</v>
          </cell>
          <cell r="F15" t="str">
            <v>Athelstan Primary School</v>
          </cell>
          <cell r="G15">
            <v>615</v>
          </cell>
          <cell r="H15">
            <v>89</v>
          </cell>
          <cell r="I15">
            <v>526</v>
          </cell>
          <cell r="N15">
            <v>0</v>
          </cell>
          <cell r="O15">
            <v>0.29644268774703558</v>
          </cell>
          <cell r="P15">
            <v>0.29644268774703558</v>
          </cell>
          <cell r="S15">
            <v>155.92885375494072</v>
          </cell>
          <cell r="U15">
            <v>0</v>
          </cell>
          <cell r="W15">
            <v>0</v>
          </cell>
          <cell r="X15">
            <v>182.31225296442688</v>
          </cell>
          <cell r="Z15">
            <v>182.31225296442688</v>
          </cell>
          <cell r="AA15">
            <v>206012.84584980237</v>
          </cell>
        </row>
        <row r="16">
          <cell r="E16">
            <v>2281</v>
          </cell>
          <cell r="F16" t="str">
            <v>Ballifield Primary School</v>
          </cell>
          <cell r="G16">
            <v>415</v>
          </cell>
          <cell r="H16">
            <v>60</v>
          </cell>
          <cell r="I16">
            <v>355</v>
          </cell>
          <cell r="N16">
            <v>0</v>
          </cell>
          <cell r="O16">
            <v>0.3146067415730337</v>
          </cell>
          <cell r="P16">
            <v>0.3146067415730337</v>
          </cell>
          <cell r="S16">
            <v>111.68539325842697</v>
          </cell>
          <cell r="U16">
            <v>0</v>
          </cell>
          <cell r="W16">
            <v>0</v>
          </cell>
          <cell r="X16">
            <v>130.56179775280899</v>
          </cell>
          <cell r="Z16">
            <v>130.56179775280899</v>
          </cell>
          <cell r="AA16">
            <v>147534.83146067415</v>
          </cell>
        </row>
        <row r="17">
          <cell r="E17">
            <v>2322</v>
          </cell>
          <cell r="F17" t="str">
            <v>Bankwood Community Primary School</v>
          </cell>
          <cell r="G17">
            <v>363</v>
          </cell>
          <cell r="H17">
            <v>55</v>
          </cell>
          <cell r="I17">
            <v>308</v>
          </cell>
          <cell r="N17">
            <v>0</v>
          </cell>
          <cell r="O17">
            <v>0.3902439024390244</v>
          </cell>
          <cell r="P17">
            <v>0.3902439024390244</v>
          </cell>
          <cell r="S17">
            <v>120.19512195121952</v>
          </cell>
          <cell r="U17">
            <v>0</v>
          </cell>
          <cell r="W17">
            <v>0</v>
          </cell>
          <cell r="X17">
            <v>141.65853658536585</v>
          </cell>
          <cell r="Z17">
            <v>141.65853658536585</v>
          </cell>
          <cell r="AA17">
            <v>160074.14634146341</v>
          </cell>
        </row>
        <row r="18">
          <cell r="E18">
            <v>2274</v>
          </cell>
          <cell r="F18" t="str">
            <v>Beck Primary School</v>
          </cell>
          <cell r="G18">
            <v>610</v>
          </cell>
          <cell r="H18">
            <v>77</v>
          </cell>
          <cell r="I18">
            <v>533</v>
          </cell>
          <cell r="N18">
            <v>0</v>
          </cell>
          <cell r="O18">
            <v>0.36608863198458574</v>
          </cell>
          <cell r="P18">
            <v>0.36608863198458574</v>
          </cell>
          <cell r="S18">
            <v>195.1252408477842</v>
          </cell>
          <cell r="U18">
            <v>0</v>
          </cell>
          <cell r="W18">
            <v>0</v>
          </cell>
          <cell r="X18">
            <v>223.31406551059732</v>
          </cell>
          <cell r="Z18">
            <v>223.31406551059732</v>
          </cell>
          <cell r="AA18">
            <v>252344.89402697497</v>
          </cell>
        </row>
        <row r="19">
          <cell r="E19">
            <v>2241</v>
          </cell>
          <cell r="F19" t="str">
            <v>Beighton Nursery Infant School</v>
          </cell>
          <cell r="G19">
            <v>249</v>
          </cell>
          <cell r="H19">
            <v>74</v>
          </cell>
          <cell r="I19">
            <v>175</v>
          </cell>
          <cell r="N19">
            <v>0</v>
          </cell>
          <cell r="O19">
            <v>0.29098291321265435</v>
          </cell>
          <cell r="P19">
            <v>0.29098291321265435</v>
          </cell>
          <cell r="S19">
            <v>50.922009812214512</v>
          </cell>
          <cell r="U19">
            <v>0</v>
          </cell>
          <cell r="W19">
            <v>0</v>
          </cell>
          <cell r="X19">
            <v>72.454745389950929</v>
          </cell>
          <cell r="Z19">
            <v>72.454745389950929</v>
          </cell>
          <cell r="AA19">
            <v>81873.862290644553</v>
          </cell>
        </row>
        <row r="20">
          <cell r="E20">
            <v>2353</v>
          </cell>
          <cell r="F20" t="str">
            <v>Birley Primary Academy</v>
          </cell>
          <cell r="G20">
            <v>533</v>
          </cell>
          <cell r="H20">
            <v>82</v>
          </cell>
          <cell r="I20">
            <v>451</v>
          </cell>
          <cell r="N20">
            <v>0</v>
          </cell>
          <cell r="O20">
            <v>0.25550660792951541</v>
          </cell>
          <cell r="P20">
            <v>0.25550660792951541</v>
          </cell>
          <cell r="S20">
            <v>115.23348017621144</v>
          </cell>
          <cell r="U20">
            <v>0</v>
          </cell>
          <cell r="W20">
            <v>0</v>
          </cell>
          <cell r="X20">
            <v>136.18502202643171</v>
          </cell>
          <cell r="Z20">
            <v>136.18502202643171</v>
          </cell>
          <cell r="AA20">
            <v>153889.07488986783</v>
          </cell>
        </row>
        <row r="21">
          <cell r="E21">
            <v>2323</v>
          </cell>
          <cell r="F21" t="str">
            <v>Birley Spa Primary Academy</v>
          </cell>
          <cell r="G21">
            <v>355</v>
          </cell>
          <cell r="H21">
            <v>40</v>
          </cell>
          <cell r="I21">
            <v>315</v>
          </cell>
          <cell r="N21">
            <v>0</v>
          </cell>
          <cell r="O21">
            <v>0.30523255813953487</v>
          </cell>
          <cell r="P21">
            <v>0.30523255813953487</v>
          </cell>
          <cell r="S21">
            <v>96.148255813953483</v>
          </cell>
          <cell r="U21">
            <v>0</v>
          </cell>
          <cell r="W21">
            <v>0</v>
          </cell>
          <cell r="X21">
            <v>108.35755813953487</v>
          </cell>
          <cell r="Z21">
            <v>108.35755813953487</v>
          </cell>
          <cell r="AA21">
            <v>122444.04069767441</v>
          </cell>
        </row>
        <row r="22">
          <cell r="E22">
            <v>2328</v>
          </cell>
          <cell r="F22" t="str">
            <v>Bradfield Dungworth Primary School</v>
          </cell>
          <cell r="G22">
            <v>126</v>
          </cell>
          <cell r="H22">
            <v>15</v>
          </cell>
          <cell r="I22">
            <v>111</v>
          </cell>
          <cell r="N22">
            <v>0</v>
          </cell>
          <cell r="O22">
            <v>0.15740740740740741</v>
          </cell>
          <cell r="P22">
            <v>0.15740740740740741</v>
          </cell>
          <cell r="S22">
            <v>17.472222222222221</v>
          </cell>
          <cell r="U22">
            <v>0</v>
          </cell>
          <cell r="W22">
            <v>0</v>
          </cell>
          <cell r="X22">
            <v>19.833333333333336</v>
          </cell>
          <cell r="Z22">
            <v>19.833333333333336</v>
          </cell>
          <cell r="AA22">
            <v>22411.666666666668</v>
          </cell>
        </row>
        <row r="23">
          <cell r="E23">
            <v>2233</v>
          </cell>
          <cell r="F23" t="str">
            <v>Bradway Primary School</v>
          </cell>
          <cell r="G23">
            <v>413</v>
          </cell>
          <cell r="H23">
            <v>60</v>
          </cell>
          <cell r="I23">
            <v>353</v>
          </cell>
          <cell r="N23">
            <v>0</v>
          </cell>
          <cell r="O23">
            <v>0.19578313253012047</v>
          </cell>
          <cell r="P23">
            <v>0.19578313253012047</v>
          </cell>
          <cell r="S23">
            <v>69.111445783132524</v>
          </cell>
          <cell r="U23">
            <v>0</v>
          </cell>
          <cell r="W23">
            <v>0</v>
          </cell>
          <cell r="X23">
            <v>80.858433734939752</v>
          </cell>
          <cell r="Z23">
            <v>80.858433734939752</v>
          </cell>
          <cell r="AA23">
            <v>91370.030120481926</v>
          </cell>
        </row>
        <row r="24">
          <cell r="E24">
            <v>2014</v>
          </cell>
          <cell r="F24" t="str">
            <v>Brightside Nursery and Infant School</v>
          </cell>
          <cell r="G24">
            <v>171</v>
          </cell>
          <cell r="H24">
            <v>60</v>
          </cell>
          <cell r="I24">
            <v>111</v>
          </cell>
          <cell r="N24">
            <v>0</v>
          </cell>
          <cell r="O24">
            <v>0.29098291321265435</v>
          </cell>
          <cell r="P24">
            <v>0.29098291321265435</v>
          </cell>
          <cell r="S24">
            <v>32.299103366604633</v>
          </cell>
          <cell r="U24">
            <v>0</v>
          </cell>
          <cell r="W24">
            <v>0</v>
          </cell>
          <cell r="X24">
            <v>49.75807815936389</v>
          </cell>
          <cell r="Z24">
            <v>49.75807815936389</v>
          </cell>
          <cell r="AA24">
            <v>56226.628320081196</v>
          </cell>
        </row>
        <row r="25">
          <cell r="E25">
            <v>2246</v>
          </cell>
          <cell r="F25" t="str">
            <v>Brook House Junior</v>
          </cell>
          <cell r="G25">
            <v>339</v>
          </cell>
          <cell r="H25">
            <v>0</v>
          </cell>
          <cell r="I25">
            <v>339</v>
          </cell>
          <cell r="N25">
            <v>0</v>
          </cell>
          <cell r="O25">
            <v>0.24748490945674045</v>
          </cell>
          <cell r="P25">
            <v>0.24748490945674045</v>
          </cell>
          <cell r="S25">
            <v>83.897384305835018</v>
          </cell>
          <cell r="U25">
            <v>0</v>
          </cell>
          <cell r="W25">
            <v>0</v>
          </cell>
          <cell r="X25">
            <v>83.897384305835018</v>
          </cell>
          <cell r="Z25">
            <v>83.897384305835018</v>
          </cell>
          <cell r="AA25">
            <v>94804.044265593577</v>
          </cell>
        </row>
        <row r="26">
          <cell r="E26">
            <v>5204</v>
          </cell>
          <cell r="F26" t="str">
            <v>Broomhill Infant School</v>
          </cell>
          <cell r="G26">
            <v>112</v>
          </cell>
          <cell r="H26">
            <v>40</v>
          </cell>
          <cell r="I26">
            <v>72</v>
          </cell>
          <cell r="N26">
            <v>0</v>
          </cell>
          <cell r="O26">
            <v>0.29098291321265435</v>
          </cell>
          <cell r="P26">
            <v>0.29098291321265435</v>
          </cell>
          <cell r="S26">
            <v>20.950769751311114</v>
          </cell>
          <cell r="U26">
            <v>0</v>
          </cell>
          <cell r="W26">
            <v>0</v>
          </cell>
          <cell r="X26">
            <v>32.590086279817285</v>
          </cell>
          <cell r="Z26">
            <v>32.590086279817285</v>
          </cell>
          <cell r="AA26">
            <v>36826.797496193532</v>
          </cell>
        </row>
        <row r="27">
          <cell r="E27">
            <v>2325</v>
          </cell>
          <cell r="F27" t="str">
            <v>Brunswick Community Primary School</v>
          </cell>
          <cell r="G27">
            <v>413</v>
          </cell>
          <cell r="H27">
            <v>59</v>
          </cell>
          <cell r="I27">
            <v>354</v>
          </cell>
          <cell r="N27">
            <v>0</v>
          </cell>
          <cell r="O27">
            <v>0.34195402298850575</v>
          </cell>
          <cell r="P27">
            <v>0.34195402298850575</v>
          </cell>
          <cell r="S27">
            <v>121.05172413793103</v>
          </cell>
          <cell r="U27">
            <v>0</v>
          </cell>
          <cell r="W27">
            <v>0</v>
          </cell>
          <cell r="X27">
            <v>141.22701149425288</v>
          </cell>
          <cell r="Z27">
            <v>141.22701149425288</v>
          </cell>
          <cell r="AA27">
            <v>159586.52298850575</v>
          </cell>
        </row>
        <row r="28">
          <cell r="E28">
            <v>2095</v>
          </cell>
          <cell r="F28" t="str">
            <v>Byron Wood Primary Academy</v>
          </cell>
          <cell r="G28">
            <v>395</v>
          </cell>
          <cell r="H28">
            <v>52</v>
          </cell>
          <cell r="I28">
            <v>343</v>
          </cell>
          <cell r="N28">
            <v>0</v>
          </cell>
          <cell r="O28">
            <v>0.32686084142394822</v>
          </cell>
          <cell r="P28">
            <v>0.32686084142394822</v>
          </cell>
          <cell r="S28">
            <v>112.11326860841424</v>
          </cell>
          <cell r="U28">
            <v>0</v>
          </cell>
          <cell r="W28">
            <v>0</v>
          </cell>
          <cell r="X28">
            <v>129.11003236245955</v>
          </cell>
          <cell r="Z28">
            <v>129.11003236245955</v>
          </cell>
          <cell r="AA28">
            <v>145894.33656957929</v>
          </cell>
        </row>
        <row r="29">
          <cell r="E29">
            <v>2344</v>
          </cell>
          <cell r="F29" t="str">
            <v>Carfield Primary School</v>
          </cell>
          <cell r="G29">
            <v>550</v>
          </cell>
          <cell r="H29">
            <v>77</v>
          </cell>
          <cell r="I29">
            <v>473</v>
          </cell>
          <cell r="N29">
            <v>0</v>
          </cell>
          <cell r="O29">
            <v>0.20985010706638116</v>
          </cell>
          <cell r="P29">
            <v>0.20985010706638116</v>
          </cell>
          <cell r="S29">
            <v>99.259100642398295</v>
          </cell>
          <cell r="U29">
            <v>0</v>
          </cell>
          <cell r="W29">
            <v>0</v>
          </cell>
          <cell r="X29">
            <v>115.41755888650965</v>
          </cell>
          <cell r="Z29">
            <v>115.41755888650965</v>
          </cell>
          <cell r="AA29">
            <v>130421.8415417559</v>
          </cell>
        </row>
        <row r="30">
          <cell r="E30">
            <v>2023</v>
          </cell>
          <cell r="F30" t="str">
            <v>Carter Knowle Junior School</v>
          </cell>
          <cell r="G30">
            <v>223</v>
          </cell>
          <cell r="H30">
            <v>0</v>
          </cell>
          <cell r="I30">
            <v>223</v>
          </cell>
          <cell r="N30">
            <v>0</v>
          </cell>
          <cell r="O30">
            <v>0.19749216300940439</v>
          </cell>
          <cell r="P30">
            <v>0.19749216300940439</v>
          </cell>
          <cell r="S30">
            <v>44.040752351097183</v>
          </cell>
          <cell r="U30">
            <v>0</v>
          </cell>
          <cell r="W30">
            <v>0</v>
          </cell>
          <cell r="X30">
            <v>44.040752351097183</v>
          </cell>
          <cell r="Z30">
            <v>44.040752351097183</v>
          </cell>
          <cell r="AA30">
            <v>49766.050156739817</v>
          </cell>
        </row>
        <row r="31">
          <cell r="E31">
            <v>2354</v>
          </cell>
          <cell r="F31" t="str">
            <v>Charnock Hall Primary Academy</v>
          </cell>
          <cell r="G31">
            <v>401</v>
          </cell>
          <cell r="H31">
            <v>60</v>
          </cell>
          <cell r="I31">
            <v>341</v>
          </cell>
          <cell r="N31">
            <v>0</v>
          </cell>
          <cell r="O31">
            <v>0.27953890489913547</v>
          </cell>
          <cell r="P31">
            <v>0.27953890489913547</v>
          </cell>
          <cell r="S31">
            <v>95.322766570605197</v>
          </cell>
          <cell r="U31">
            <v>0</v>
          </cell>
          <cell r="W31">
            <v>0</v>
          </cell>
          <cell r="X31">
            <v>112.09510086455332</v>
          </cell>
          <cell r="Z31">
            <v>112.09510086455332</v>
          </cell>
          <cell r="AA31">
            <v>126667.46397694525</v>
          </cell>
        </row>
        <row r="32">
          <cell r="E32">
            <v>5200</v>
          </cell>
          <cell r="F32" t="str">
            <v>Clifford All Saints CofE Primary School</v>
          </cell>
          <cell r="G32">
            <v>191</v>
          </cell>
          <cell r="H32">
            <v>19</v>
          </cell>
          <cell r="I32">
            <v>172</v>
          </cell>
          <cell r="N32">
            <v>0</v>
          </cell>
          <cell r="O32">
            <v>0.16560509554140126</v>
          </cell>
          <cell r="P32">
            <v>0.16560509554140126</v>
          </cell>
          <cell r="S32">
            <v>28.484076433121018</v>
          </cell>
          <cell r="U32">
            <v>0</v>
          </cell>
          <cell r="W32">
            <v>0</v>
          </cell>
          <cell r="X32">
            <v>31.630573248407643</v>
          </cell>
          <cell r="Z32">
            <v>31.630573248407643</v>
          </cell>
          <cell r="AA32">
            <v>35742.547770700636</v>
          </cell>
        </row>
        <row r="33">
          <cell r="E33">
            <v>2312</v>
          </cell>
          <cell r="F33" t="str">
            <v>Coit Primary School</v>
          </cell>
          <cell r="G33">
            <v>201</v>
          </cell>
          <cell r="H33">
            <v>30</v>
          </cell>
          <cell r="I33">
            <v>171</v>
          </cell>
          <cell r="N33">
            <v>0</v>
          </cell>
          <cell r="O33">
            <v>0.17045454545454544</v>
          </cell>
          <cell r="P33">
            <v>0.17045454545454544</v>
          </cell>
          <cell r="S33">
            <v>29.14772727272727</v>
          </cell>
          <cell r="U33">
            <v>0</v>
          </cell>
          <cell r="W33">
            <v>0</v>
          </cell>
          <cell r="X33">
            <v>34.261363636363633</v>
          </cell>
          <cell r="Z33">
            <v>34.261363636363633</v>
          </cell>
          <cell r="AA33">
            <v>38715.340909090904</v>
          </cell>
        </row>
        <row r="34">
          <cell r="E34">
            <v>2026</v>
          </cell>
          <cell r="F34" t="str">
            <v>Concord Junior School</v>
          </cell>
          <cell r="G34">
            <v>190</v>
          </cell>
          <cell r="H34">
            <v>0</v>
          </cell>
          <cell r="I34">
            <v>190</v>
          </cell>
          <cell r="N34">
            <v>0</v>
          </cell>
          <cell r="O34">
            <v>0.43373493975903615</v>
          </cell>
          <cell r="P34">
            <v>0.43373493975903615</v>
          </cell>
          <cell r="S34">
            <v>82.409638554216869</v>
          </cell>
          <cell r="U34">
            <v>0</v>
          </cell>
          <cell r="W34">
            <v>0</v>
          </cell>
          <cell r="X34">
            <v>82.409638554216869</v>
          </cell>
          <cell r="Z34">
            <v>82.409638554216869</v>
          </cell>
          <cell r="AA34">
            <v>93122.891566265069</v>
          </cell>
        </row>
        <row r="35">
          <cell r="E35">
            <v>3422</v>
          </cell>
          <cell r="F35" t="str">
            <v>Deepcar St John's Church of England Junior School</v>
          </cell>
          <cell r="G35">
            <v>166</v>
          </cell>
          <cell r="H35">
            <v>0</v>
          </cell>
          <cell r="I35">
            <v>166</v>
          </cell>
          <cell r="N35">
            <v>0</v>
          </cell>
          <cell r="O35">
            <v>0.26235741444866922</v>
          </cell>
          <cell r="P35">
            <v>0.26235741444866922</v>
          </cell>
          <cell r="S35">
            <v>43.551330798479093</v>
          </cell>
          <cell r="U35">
            <v>0</v>
          </cell>
          <cell r="W35">
            <v>0</v>
          </cell>
          <cell r="X35">
            <v>43.551330798479093</v>
          </cell>
          <cell r="Z35">
            <v>43.551330798479093</v>
          </cell>
          <cell r="AA35">
            <v>49213.003802281375</v>
          </cell>
        </row>
        <row r="36">
          <cell r="E36">
            <v>2283</v>
          </cell>
          <cell r="F36" t="str">
            <v>Dobcroft Infant School</v>
          </cell>
          <cell r="G36">
            <v>270</v>
          </cell>
          <cell r="H36">
            <v>90</v>
          </cell>
          <cell r="I36">
            <v>180</v>
          </cell>
          <cell r="N36">
            <v>0</v>
          </cell>
          <cell r="O36">
            <v>0.29098291321265435</v>
          </cell>
          <cell r="P36">
            <v>0.29098291321265435</v>
          </cell>
          <cell r="S36">
            <v>52.376924378277785</v>
          </cell>
          <cell r="U36">
            <v>0</v>
          </cell>
          <cell r="W36">
            <v>0</v>
          </cell>
          <cell r="X36">
            <v>78.565386567416681</v>
          </cell>
          <cell r="Z36">
            <v>78.565386567416681</v>
          </cell>
          <cell r="AA36">
            <v>88778.886821180844</v>
          </cell>
        </row>
        <row r="37">
          <cell r="E37">
            <v>2239</v>
          </cell>
          <cell r="F37" t="str">
            <v>Dobcroft Junior School</v>
          </cell>
          <cell r="G37">
            <v>419</v>
          </cell>
          <cell r="H37">
            <v>0</v>
          </cell>
          <cell r="I37">
            <v>419</v>
          </cell>
          <cell r="N37">
            <v>0</v>
          </cell>
          <cell r="O37">
            <v>0.13907284768211919</v>
          </cell>
          <cell r="P37">
            <v>0.13907284768211919</v>
          </cell>
          <cell r="S37">
            <v>58.271523178807939</v>
          </cell>
          <cell r="U37">
            <v>0</v>
          </cell>
          <cell r="W37">
            <v>0</v>
          </cell>
          <cell r="X37">
            <v>58.271523178807939</v>
          </cell>
          <cell r="Z37">
            <v>58.271523178807939</v>
          </cell>
          <cell r="AA37">
            <v>65846.821192052972</v>
          </cell>
        </row>
        <row r="38">
          <cell r="E38">
            <v>2364</v>
          </cell>
          <cell r="F38" t="str">
            <v>Dore Primary School</v>
          </cell>
          <cell r="G38">
            <v>446</v>
          </cell>
          <cell r="H38">
            <v>84</v>
          </cell>
          <cell r="I38">
            <v>362</v>
          </cell>
          <cell r="N38">
            <v>0</v>
          </cell>
          <cell r="O38">
            <v>0.21008403361344538</v>
          </cell>
          <cell r="P38">
            <v>0.21008403361344538</v>
          </cell>
          <cell r="S38">
            <v>76.050420168067234</v>
          </cell>
          <cell r="U38">
            <v>0</v>
          </cell>
          <cell r="W38">
            <v>0</v>
          </cell>
          <cell r="X38">
            <v>93.697478991596654</v>
          </cell>
          <cell r="Z38">
            <v>93.697478991596654</v>
          </cell>
          <cell r="AA38">
            <v>105878.15126050422</v>
          </cell>
        </row>
        <row r="39">
          <cell r="E39">
            <v>2016</v>
          </cell>
          <cell r="F39" t="str">
            <v>E-ACT Pathways Academy</v>
          </cell>
          <cell r="G39">
            <v>350</v>
          </cell>
          <cell r="H39">
            <v>45</v>
          </cell>
          <cell r="I39">
            <v>305</v>
          </cell>
          <cell r="N39">
            <v>0</v>
          </cell>
          <cell r="O39">
            <v>0.37174721189591076</v>
          </cell>
          <cell r="P39">
            <v>0.37174721189591076</v>
          </cell>
          <cell r="S39">
            <v>113.38289962825279</v>
          </cell>
          <cell r="U39">
            <v>0</v>
          </cell>
          <cell r="W39">
            <v>0</v>
          </cell>
          <cell r="X39">
            <v>130.11152416356876</v>
          </cell>
          <cell r="Z39">
            <v>130.11152416356876</v>
          </cell>
          <cell r="AA39">
            <v>147026.0223048327</v>
          </cell>
        </row>
        <row r="40">
          <cell r="E40">
            <v>2206</v>
          </cell>
          <cell r="F40" t="str">
            <v>Ecclesall Primary School</v>
          </cell>
          <cell r="G40">
            <v>601</v>
          </cell>
          <cell r="H40">
            <v>90</v>
          </cell>
          <cell r="I40">
            <v>511</v>
          </cell>
          <cell r="N40">
            <v>0</v>
          </cell>
          <cell r="O40">
            <v>0.11042944785276074</v>
          </cell>
          <cell r="P40">
            <v>0.11042944785276074</v>
          </cell>
          <cell r="S40">
            <v>56.429447852760738</v>
          </cell>
          <cell r="U40">
            <v>0</v>
          </cell>
          <cell r="W40">
            <v>0</v>
          </cell>
          <cell r="X40">
            <v>66.368098159509202</v>
          </cell>
          <cell r="Z40">
            <v>66.368098159509202</v>
          </cell>
          <cell r="AA40">
            <v>74995.950920245392</v>
          </cell>
        </row>
        <row r="41">
          <cell r="E41">
            <v>2080</v>
          </cell>
          <cell r="F41" t="str">
            <v>Ecclesfield Primary School</v>
          </cell>
          <cell r="G41">
            <v>392</v>
          </cell>
          <cell r="H41">
            <v>54</v>
          </cell>
          <cell r="I41">
            <v>338</v>
          </cell>
          <cell r="N41">
            <v>0</v>
          </cell>
          <cell r="O41">
            <v>0.24615384615384617</v>
          </cell>
          <cell r="P41">
            <v>0.24615384615384617</v>
          </cell>
          <cell r="S41">
            <v>83.2</v>
          </cell>
          <cell r="U41">
            <v>0</v>
          </cell>
          <cell r="W41">
            <v>0</v>
          </cell>
          <cell r="X41">
            <v>96.492307692307691</v>
          </cell>
          <cell r="Z41">
            <v>96.492307692307691</v>
          </cell>
          <cell r="AA41">
            <v>109036.30769230769</v>
          </cell>
        </row>
        <row r="42">
          <cell r="E42">
            <v>2024</v>
          </cell>
          <cell r="F42" t="str">
            <v>Emmanuel Anglican/Methodist Junior School</v>
          </cell>
          <cell r="G42">
            <v>187</v>
          </cell>
          <cell r="H42">
            <v>0</v>
          </cell>
          <cell r="I42">
            <v>187</v>
          </cell>
          <cell r="N42">
            <v>0</v>
          </cell>
          <cell r="O42">
            <v>0.38403041825095058</v>
          </cell>
          <cell r="P42">
            <v>0.38403041825095058</v>
          </cell>
          <cell r="S42">
            <v>71.813688212927758</v>
          </cell>
          <cell r="U42">
            <v>0</v>
          </cell>
          <cell r="W42">
            <v>0</v>
          </cell>
          <cell r="X42">
            <v>71.813688212927758</v>
          </cell>
          <cell r="Z42">
            <v>71.813688212927758</v>
          </cell>
          <cell r="AA42">
            <v>81149.467680608373</v>
          </cell>
        </row>
        <row r="43">
          <cell r="E43">
            <v>2028</v>
          </cell>
          <cell r="F43" t="str">
            <v>Emmaus Catholic and CofE Primary School</v>
          </cell>
          <cell r="G43">
            <v>296</v>
          </cell>
          <cell r="H43">
            <v>46</v>
          </cell>
          <cell r="I43">
            <v>250</v>
          </cell>
          <cell r="N43">
            <v>0</v>
          </cell>
          <cell r="O43">
            <v>0.31854838709677419</v>
          </cell>
          <cell r="P43">
            <v>0.31854838709677419</v>
          </cell>
          <cell r="S43">
            <v>79.637096774193552</v>
          </cell>
          <cell r="U43">
            <v>0</v>
          </cell>
          <cell r="W43">
            <v>0</v>
          </cell>
          <cell r="X43">
            <v>94.290322580645153</v>
          </cell>
          <cell r="Z43">
            <v>94.290322580645153</v>
          </cell>
          <cell r="AA43">
            <v>106548.06451612902</v>
          </cell>
        </row>
        <row r="44">
          <cell r="E44">
            <v>2010</v>
          </cell>
          <cell r="F44" t="str">
            <v>Fox Hill Primary</v>
          </cell>
          <cell r="G44">
            <v>291</v>
          </cell>
          <cell r="H44">
            <v>38</v>
          </cell>
          <cell r="I44">
            <v>253</v>
          </cell>
          <cell r="N44">
            <v>0</v>
          </cell>
          <cell r="O44">
            <v>0.47899159663865548</v>
          </cell>
          <cell r="P44">
            <v>0.47899159663865548</v>
          </cell>
          <cell r="S44">
            <v>121.18487394957984</v>
          </cell>
          <cell r="U44">
            <v>0</v>
          </cell>
          <cell r="W44">
            <v>0</v>
          </cell>
          <cell r="X44">
            <v>139.38655462184875</v>
          </cell>
          <cell r="Z44">
            <v>139.38655462184875</v>
          </cell>
          <cell r="AA44">
            <v>157506.80672268907</v>
          </cell>
        </row>
        <row r="45">
          <cell r="E45">
            <v>2036</v>
          </cell>
          <cell r="F45" t="str">
            <v>Gleadless Primary School</v>
          </cell>
          <cell r="G45">
            <v>393</v>
          </cell>
          <cell r="H45">
            <v>56</v>
          </cell>
          <cell r="I45">
            <v>337</v>
          </cell>
          <cell r="N45">
            <v>0</v>
          </cell>
          <cell r="O45">
            <v>0.28792569659442724</v>
          </cell>
          <cell r="P45">
            <v>0.28792569659442724</v>
          </cell>
          <cell r="S45">
            <v>97.030959752321976</v>
          </cell>
          <cell r="U45">
            <v>0</v>
          </cell>
          <cell r="W45">
            <v>0</v>
          </cell>
          <cell r="X45">
            <v>113.15479876160991</v>
          </cell>
          <cell r="Z45">
            <v>113.15479876160991</v>
          </cell>
          <cell r="AA45">
            <v>127864.9226006192</v>
          </cell>
        </row>
        <row r="46">
          <cell r="E46">
            <v>2305</v>
          </cell>
          <cell r="F46" t="str">
            <v>Greengate Lane Academy</v>
          </cell>
          <cell r="G46">
            <v>187</v>
          </cell>
          <cell r="H46">
            <v>26</v>
          </cell>
          <cell r="I46">
            <v>161</v>
          </cell>
          <cell r="N46">
            <v>0</v>
          </cell>
          <cell r="O46">
            <v>0.21951219512195122</v>
          </cell>
          <cell r="P46">
            <v>0.21951219512195122</v>
          </cell>
          <cell r="S46">
            <v>35.341463414634148</v>
          </cell>
          <cell r="U46">
            <v>0</v>
          </cell>
          <cell r="W46">
            <v>0</v>
          </cell>
          <cell r="X46">
            <v>41.048780487804876</v>
          </cell>
          <cell r="Z46">
            <v>41.048780487804876</v>
          </cell>
          <cell r="AA46">
            <v>46385.121951219509</v>
          </cell>
        </row>
        <row r="47">
          <cell r="E47">
            <v>2341</v>
          </cell>
          <cell r="F47" t="str">
            <v>Greenhill Primary School</v>
          </cell>
          <cell r="G47">
            <v>466</v>
          </cell>
          <cell r="H47">
            <v>51</v>
          </cell>
          <cell r="I47">
            <v>415</v>
          </cell>
          <cell r="N47">
            <v>0</v>
          </cell>
          <cell r="O47">
            <v>0.27431421446384041</v>
          </cell>
          <cell r="P47">
            <v>0.27431421446384041</v>
          </cell>
          <cell r="S47">
            <v>113.84039900249377</v>
          </cell>
          <cell r="U47">
            <v>0</v>
          </cell>
          <cell r="W47">
            <v>0</v>
          </cell>
          <cell r="X47">
            <v>127.83042394014963</v>
          </cell>
          <cell r="Z47">
            <v>127.83042394014963</v>
          </cell>
          <cell r="AA47">
            <v>144448.37905236907</v>
          </cell>
        </row>
        <row r="48">
          <cell r="E48">
            <v>2296</v>
          </cell>
          <cell r="F48" t="str">
            <v>Grenoside Community Primary School</v>
          </cell>
          <cell r="G48">
            <v>314</v>
          </cell>
          <cell r="H48">
            <v>35</v>
          </cell>
          <cell r="I48">
            <v>279</v>
          </cell>
          <cell r="N48">
            <v>0</v>
          </cell>
          <cell r="O48">
            <v>0.18411552346570398</v>
          </cell>
          <cell r="P48">
            <v>0.18411552346570398</v>
          </cell>
          <cell r="S48">
            <v>51.368231046931413</v>
          </cell>
          <cell r="U48">
            <v>0</v>
          </cell>
          <cell r="W48">
            <v>0</v>
          </cell>
          <cell r="X48">
            <v>57.812274368231051</v>
          </cell>
          <cell r="Z48">
            <v>57.812274368231051</v>
          </cell>
          <cell r="AA48">
            <v>65327.870036101085</v>
          </cell>
        </row>
        <row r="49">
          <cell r="E49">
            <v>2356</v>
          </cell>
          <cell r="F49" t="str">
            <v>Greystones Primary School</v>
          </cell>
          <cell r="G49">
            <v>625</v>
          </cell>
          <cell r="H49">
            <v>88</v>
          </cell>
          <cell r="I49">
            <v>537</v>
          </cell>
          <cell r="N49">
            <v>0</v>
          </cell>
          <cell r="O49">
            <v>0.17794970986460348</v>
          </cell>
          <cell r="P49">
            <v>0.17794970986460348</v>
          </cell>
          <cell r="S49">
            <v>95.558994197292066</v>
          </cell>
          <cell r="U49">
            <v>0</v>
          </cell>
          <cell r="W49">
            <v>0</v>
          </cell>
          <cell r="X49">
            <v>111.21856866537718</v>
          </cell>
          <cell r="Z49">
            <v>111.21856866537718</v>
          </cell>
          <cell r="AA49">
            <v>125676.98259187621</v>
          </cell>
        </row>
        <row r="50">
          <cell r="E50">
            <v>2279</v>
          </cell>
          <cell r="F50" t="str">
            <v>Halfway Junior School</v>
          </cell>
          <cell r="G50">
            <v>211</v>
          </cell>
          <cell r="H50">
            <v>0</v>
          </cell>
          <cell r="I50">
            <v>211</v>
          </cell>
          <cell r="N50">
            <v>0</v>
          </cell>
          <cell r="O50">
            <v>0.21070234113712374</v>
          </cell>
          <cell r="P50">
            <v>0.21070234113712374</v>
          </cell>
          <cell r="S50">
            <v>44.458193979933107</v>
          </cell>
          <cell r="U50">
            <v>0</v>
          </cell>
          <cell r="W50">
            <v>0</v>
          </cell>
          <cell r="X50">
            <v>44.458193979933107</v>
          </cell>
          <cell r="Z50">
            <v>44.458193979933107</v>
          </cell>
          <cell r="AA50">
            <v>50237.759197324413</v>
          </cell>
        </row>
        <row r="51">
          <cell r="E51">
            <v>2252</v>
          </cell>
          <cell r="F51" t="str">
            <v>Halfway Nursery Infant School</v>
          </cell>
          <cell r="G51">
            <v>156</v>
          </cell>
          <cell r="H51">
            <v>59</v>
          </cell>
          <cell r="I51">
            <v>97</v>
          </cell>
          <cell r="N51">
            <v>0</v>
          </cell>
          <cell r="O51">
            <v>0.29098291321265435</v>
          </cell>
          <cell r="P51">
            <v>0.29098291321265435</v>
          </cell>
          <cell r="S51">
            <v>28.225342581627473</v>
          </cell>
          <cell r="U51">
            <v>0</v>
          </cell>
          <cell r="W51">
            <v>0</v>
          </cell>
          <cell r="X51">
            <v>45.393334461174078</v>
          </cell>
          <cell r="Z51">
            <v>45.393334461174078</v>
          </cell>
          <cell r="AA51">
            <v>51294.467941126706</v>
          </cell>
        </row>
        <row r="52">
          <cell r="E52">
            <v>2357</v>
          </cell>
          <cell r="F52" t="str">
            <v>Hallam Primary School</v>
          </cell>
          <cell r="G52">
            <v>624</v>
          </cell>
          <cell r="H52">
            <v>90</v>
          </cell>
          <cell r="I52">
            <v>534</v>
          </cell>
          <cell r="N52">
            <v>0</v>
          </cell>
          <cell r="O52">
            <v>0.18725868725868725</v>
          </cell>
          <cell r="P52">
            <v>0.18725868725868725</v>
          </cell>
          <cell r="S52">
            <v>99.996138996138995</v>
          </cell>
          <cell r="U52">
            <v>0</v>
          </cell>
          <cell r="W52">
            <v>0</v>
          </cell>
          <cell r="X52">
            <v>116.84942084942084</v>
          </cell>
          <cell r="Z52">
            <v>116.84942084942084</v>
          </cell>
          <cell r="AA52">
            <v>132039.84555984553</v>
          </cell>
        </row>
        <row r="53">
          <cell r="E53">
            <v>2050</v>
          </cell>
          <cell r="F53" t="str">
            <v>Hartley Brook Primary School</v>
          </cell>
          <cell r="G53">
            <v>594</v>
          </cell>
          <cell r="H53">
            <v>73</v>
          </cell>
          <cell r="I53">
            <v>521</v>
          </cell>
          <cell r="N53">
            <v>0</v>
          </cell>
          <cell r="O53">
            <v>0.40339702760084928</v>
          </cell>
          <cell r="P53">
            <v>0.40339702760084928</v>
          </cell>
          <cell r="S53">
            <v>210.16985138004247</v>
          </cell>
          <cell r="U53">
            <v>0</v>
          </cell>
          <cell r="W53">
            <v>0</v>
          </cell>
          <cell r="X53">
            <v>239.61783439490446</v>
          </cell>
          <cell r="Z53">
            <v>239.61783439490446</v>
          </cell>
          <cell r="AA53">
            <v>270768.15286624205</v>
          </cell>
        </row>
        <row r="54">
          <cell r="E54">
            <v>2049</v>
          </cell>
          <cell r="F54" t="str">
            <v>Hatfield Academy</v>
          </cell>
          <cell r="G54">
            <v>371</v>
          </cell>
          <cell r="H54">
            <v>36</v>
          </cell>
          <cell r="I54">
            <v>335</v>
          </cell>
          <cell r="N54">
            <v>0</v>
          </cell>
          <cell r="O54">
            <v>0.36749116607773852</v>
          </cell>
          <cell r="P54">
            <v>0.36749116607773852</v>
          </cell>
          <cell r="S54">
            <v>123.1095406360424</v>
          </cell>
          <cell r="U54">
            <v>0</v>
          </cell>
          <cell r="W54">
            <v>0</v>
          </cell>
          <cell r="X54">
            <v>136.33922261484099</v>
          </cell>
          <cell r="Z54">
            <v>136.33922261484099</v>
          </cell>
          <cell r="AA54">
            <v>154063.32155477031</v>
          </cell>
        </row>
        <row r="55">
          <cell r="E55">
            <v>2297</v>
          </cell>
          <cell r="F55" t="str">
            <v>High Green Primary School</v>
          </cell>
          <cell r="G55">
            <v>199</v>
          </cell>
          <cell r="H55">
            <v>23</v>
          </cell>
          <cell r="I55">
            <v>176</v>
          </cell>
          <cell r="N55">
            <v>0</v>
          </cell>
          <cell r="O55">
            <v>0.36842105263157893</v>
          </cell>
          <cell r="P55">
            <v>0.36842105263157893</v>
          </cell>
          <cell r="S55">
            <v>64.84210526315789</v>
          </cell>
          <cell r="U55">
            <v>0</v>
          </cell>
          <cell r="W55">
            <v>0</v>
          </cell>
          <cell r="X55">
            <v>73.315789473684205</v>
          </cell>
          <cell r="Z55">
            <v>73.315789473684205</v>
          </cell>
          <cell r="AA55">
            <v>82846.842105263146</v>
          </cell>
        </row>
        <row r="56">
          <cell r="E56">
            <v>2042</v>
          </cell>
          <cell r="F56" t="str">
            <v>High Hazels Junior School</v>
          </cell>
          <cell r="G56">
            <v>351</v>
          </cell>
          <cell r="H56">
            <v>0</v>
          </cell>
          <cell r="I56">
            <v>351</v>
          </cell>
          <cell r="N56">
            <v>0</v>
          </cell>
          <cell r="O56">
            <v>0.28752642706131076</v>
          </cell>
          <cell r="P56">
            <v>0.28752642706131076</v>
          </cell>
          <cell r="S56">
            <v>100.92177589852008</v>
          </cell>
          <cell r="U56">
            <v>0</v>
          </cell>
          <cell r="W56">
            <v>0</v>
          </cell>
          <cell r="X56">
            <v>100.92177589852008</v>
          </cell>
          <cell r="Z56">
            <v>100.92177589852008</v>
          </cell>
          <cell r="AA56">
            <v>114041.6067653277</v>
          </cell>
        </row>
        <row r="57">
          <cell r="E57">
            <v>2039</v>
          </cell>
          <cell r="F57" t="str">
            <v>High Hazels Nursery Infant Academy</v>
          </cell>
          <cell r="G57">
            <v>229</v>
          </cell>
          <cell r="H57">
            <v>74</v>
          </cell>
          <cell r="I57">
            <v>155</v>
          </cell>
          <cell r="N57">
            <v>0</v>
          </cell>
          <cell r="O57">
            <v>0.29098291321265435</v>
          </cell>
          <cell r="P57">
            <v>0.29098291321265435</v>
          </cell>
          <cell r="S57">
            <v>45.102351547961426</v>
          </cell>
          <cell r="U57">
            <v>0</v>
          </cell>
          <cell r="W57">
            <v>0</v>
          </cell>
          <cell r="X57">
            <v>66.635087125697851</v>
          </cell>
          <cell r="Z57">
            <v>66.635087125697851</v>
          </cell>
          <cell r="AA57">
            <v>75297.648452038571</v>
          </cell>
        </row>
        <row r="58">
          <cell r="E58">
            <v>2339</v>
          </cell>
          <cell r="F58" t="str">
            <v>Hillsborough Primary School</v>
          </cell>
          <cell r="G58">
            <v>347</v>
          </cell>
          <cell r="H58">
            <v>53</v>
          </cell>
          <cell r="I58">
            <v>294</v>
          </cell>
          <cell r="N58">
            <v>0</v>
          </cell>
          <cell r="O58">
            <v>0.3902439024390244</v>
          </cell>
          <cell r="P58">
            <v>0.3902439024390244</v>
          </cell>
          <cell r="S58">
            <v>114.73170731707317</v>
          </cell>
          <cell r="U58">
            <v>0</v>
          </cell>
          <cell r="W58">
            <v>0</v>
          </cell>
          <cell r="X58">
            <v>135.41463414634146</v>
          </cell>
          <cell r="Z58">
            <v>135.41463414634146</v>
          </cell>
          <cell r="AA58">
            <v>153018.53658536586</v>
          </cell>
        </row>
        <row r="59">
          <cell r="E59">
            <v>2213</v>
          </cell>
          <cell r="F59" t="str">
            <v>Holt House Infant School</v>
          </cell>
          <cell r="G59">
            <v>179</v>
          </cell>
          <cell r="H59">
            <v>60</v>
          </cell>
          <cell r="I59">
            <v>119</v>
          </cell>
          <cell r="N59">
            <v>0</v>
          </cell>
          <cell r="O59">
            <v>0.29098291321265435</v>
          </cell>
          <cell r="P59">
            <v>0.29098291321265435</v>
          </cell>
          <cell r="S59">
            <v>34.626966672305869</v>
          </cell>
          <cell r="U59">
            <v>0</v>
          </cell>
          <cell r="W59">
            <v>0</v>
          </cell>
          <cell r="X59">
            <v>52.085941465065126</v>
          </cell>
          <cell r="Z59">
            <v>52.085941465065126</v>
          </cell>
          <cell r="AA59">
            <v>58857.113855523596</v>
          </cell>
        </row>
        <row r="60">
          <cell r="E60">
            <v>2337</v>
          </cell>
          <cell r="F60" t="str">
            <v>Hucklow Primary School</v>
          </cell>
          <cell r="G60">
            <v>413</v>
          </cell>
          <cell r="H60">
            <v>54</v>
          </cell>
          <cell r="I60">
            <v>359</v>
          </cell>
          <cell r="N60">
            <v>0</v>
          </cell>
          <cell r="O60">
            <v>0.46723646723646722</v>
          </cell>
          <cell r="P60">
            <v>0.46723646723646722</v>
          </cell>
          <cell r="S60">
            <v>167.73789173789174</v>
          </cell>
          <cell r="U60">
            <v>0</v>
          </cell>
          <cell r="W60">
            <v>0</v>
          </cell>
          <cell r="X60">
            <v>192.968660968661</v>
          </cell>
          <cell r="Z60">
            <v>192.968660968661</v>
          </cell>
          <cell r="AA60">
            <v>218054.58689458692</v>
          </cell>
        </row>
        <row r="61">
          <cell r="E61">
            <v>2060</v>
          </cell>
          <cell r="F61" t="str">
            <v>Hunter's Bar Infant School</v>
          </cell>
          <cell r="G61">
            <v>267</v>
          </cell>
          <cell r="H61">
            <v>89</v>
          </cell>
          <cell r="I61">
            <v>178</v>
          </cell>
          <cell r="N61">
            <v>0</v>
          </cell>
          <cell r="O61">
            <v>0.29098291321265435</v>
          </cell>
          <cell r="P61">
            <v>0.29098291321265435</v>
          </cell>
          <cell r="S61">
            <v>51.794958551852474</v>
          </cell>
          <cell r="U61">
            <v>0</v>
          </cell>
          <cell r="W61">
            <v>0</v>
          </cell>
          <cell r="X61">
            <v>77.692437827778704</v>
          </cell>
          <cell r="Z61">
            <v>77.692437827778704</v>
          </cell>
          <cell r="AA61">
            <v>87792.454745389929</v>
          </cell>
        </row>
        <row r="62">
          <cell r="E62">
            <v>2058</v>
          </cell>
          <cell r="F62" t="str">
            <v>Hunter's Bar Junior School</v>
          </cell>
          <cell r="G62">
            <v>362</v>
          </cell>
          <cell r="H62">
            <v>0</v>
          </cell>
          <cell r="I62">
            <v>362</v>
          </cell>
          <cell r="N62">
            <v>0</v>
          </cell>
          <cell r="O62">
            <v>0.25806451612903225</v>
          </cell>
          <cell r="P62">
            <v>0.25806451612903225</v>
          </cell>
          <cell r="S62">
            <v>93.41935483870968</v>
          </cell>
          <cell r="U62">
            <v>0</v>
          </cell>
          <cell r="W62">
            <v>0</v>
          </cell>
          <cell r="X62">
            <v>93.41935483870968</v>
          </cell>
          <cell r="Z62">
            <v>93.41935483870968</v>
          </cell>
          <cell r="AA62">
            <v>105563.87096774194</v>
          </cell>
        </row>
        <row r="63">
          <cell r="E63">
            <v>2063</v>
          </cell>
          <cell r="F63" t="str">
            <v>Intake Primary School</v>
          </cell>
          <cell r="G63">
            <v>409</v>
          </cell>
          <cell r="H63">
            <v>59</v>
          </cell>
          <cell r="I63">
            <v>350</v>
          </cell>
          <cell r="N63">
            <v>0</v>
          </cell>
          <cell r="O63">
            <v>0.20461095100864554</v>
          </cell>
          <cell r="P63">
            <v>0.20461095100864554</v>
          </cell>
          <cell r="S63">
            <v>71.61383285302594</v>
          </cell>
          <cell r="U63">
            <v>0</v>
          </cell>
          <cell r="W63">
            <v>0</v>
          </cell>
          <cell r="X63">
            <v>83.685878962536023</v>
          </cell>
          <cell r="Z63">
            <v>83.685878962536023</v>
          </cell>
          <cell r="AA63">
            <v>94565.043227665708</v>
          </cell>
        </row>
        <row r="64">
          <cell r="E64">
            <v>2261</v>
          </cell>
          <cell r="F64" t="str">
            <v>Limpsfield Junior School</v>
          </cell>
          <cell r="G64">
            <v>235</v>
          </cell>
          <cell r="H64">
            <v>0</v>
          </cell>
          <cell r="I64">
            <v>235</v>
          </cell>
          <cell r="N64">
            <v>0</v>
          </cell>
          <cell r="O64">
            <v>0.33939393939393941</v>
          </cell>
          <cell r="P64">
            <v>0.33939393939393941</v>
          </cell>
          <cell r="S64">
            <v>79.757575757575765</v>
          </cell>
          <cell r="U64">
            <v>0</v>
          </cell>
          <cell r="W64">
            <v>0</v>
          </cell>
          <cell r="X64">
            <v>79.757575757575765</v>
          </cell>
          <cell r="Z64">
            <v>79.757575757575765</v>
          </cell>
          <cell r="AA64">
            <v>90126.060606060608</v>
          </cell>
        </row>
        <row r="65">
          <cell r="E65">
            <v>2315</v>
          </cell>
          <cell r="F65" t="str">
            <v>Lound Infant School</v>
          </cell>
          <cell r="G65">
            <v>145</v>
          </cell>
          <cell r="H65">
            <v>45</v>
          </cell>
          <cell r="I65">
            <v>100</v>
          </cell>
          <cell r="N65">
            <v>0</v>
          </cell>
          <cell r="O65">
            <v>0.29098291321265435</v>
          </cell>
          <cell r="P65">
            <v>0.29098291321265435</v>
          </cell>
          <cell r="S65">
            <v>29.098291321265435</v>
          </cell>
          <cell r="U65">
            <v>0</v>
          </cell>
          <cell r="W65">
            <v>0</v>
          </cell>
          <cell r="X65">
            <v>42.19252241583488</v>
          </cell>
          <cell r="Z65">
            <v>42.19252241583488</v>
          </cell>
          <cell r="AA65">
            <v>47677.550329893413</v>
          </cell>
        </row>
        <row r="66">
          <cell r="E66">
            <v>2298</v>
          </cell>
          <cell r="F66" t="str">
            <v>Lound Junior School</v>
          </cell>
          <cell r="G66">
            <v>209</v>
          </cell>
          <cell r="H66">
            <v>0</v>
          </cell>
          <cell r="I66">
            <v>209</v>
          </cell>
          <cell r="N66">
            <v>0</v>
          </cell>
          <cell r="O66">
            <v>0.2262295081967213</v>
          </cell>
          <cell r="P66">
            <v>0.2262295081967213</v>
          </cell>
          <cell r="S66">
            <v>47.281967213114754</v>
          </cell>
          <cell r="U66">
            <v>0</v>
          </cell>
          <cell r="W66">
            <v>0</v>
          </cell>
          <cell r="X66">
            <v>47.281967213114754</v>
          </cell>
          <cell r="Z66">
            <v>47.281967213114754</v>
          </cell>
          <cell r="AA66">
            <v>53428.62295081967</v>
          </cell>
        </row>
        <row r="67">
          <cell r="E67">
            <v>2029</v>
          </cell>
          <cell r="F67" t="str">
            <v>Lowedges Junior Academy</v>
          </cell>
          <cell r="G67">
            <v>302</v>
          </cell>
          <cell r="H67">
            <v>41</v>
          </cell>
          <cell r="I67">
            <v>261</v>
          </cell>
          <cell r="N67">
            <v>0</v>
          </cell>
          <cell r="O67">
            <v>0.31277533039647576</v>
          </cell>
          <cell r="P67">
            <v>0.31277533039647576</v>
          </cell>
          <cell r="S67">
            <v>81.634361233480178</v>
          </cell>
          <cell r="U67">
            <v>0</v>
          </cell>
          <cell r="W67">
            <v>0</v>
          </cell>
          <cell r="X67">
            <v>94.458149779735677</v>
          </cell>
          <cell r="Z67">
            <v>94.458149779735677</v>
          </cell>
          <cell r="AA67">
            <v>106737.70925110132</v>
          </cell>
        </row>
        <row r="68">
          <cell r="E68">
            <v>2045</v>
          </cell>
          <cell r="F68" t="str">
            <v>Lower Meadow Primary School</v>
          </cell>
          <cell r="G68">
            <v>249</v>
          </cell>
          <cell r="H68">
            <v>37</v>
          </cell>
          <cell r="I68">
            <v>212</v>
          </cell>
          <cell r="N68">
            <v>0</v>
          </cell>
          <cell r="O68">
            <v>0.3487179487179487</v>
          </cell>
          <cell r="P68">
            <v>0.3487179487179487</v>
          </cell>
          <cell r="S68">
            <v>73.928205128205121</v>
          </cell>
          <cell r="U68">
            <v>0</v>
          </cell>
          <cell r="W68">
            <v>0</v>
          </cell>
          <cell r="X68">
            <v>86.830769230769221</v>
          </cell>
          <cell r="Z68">
            <v>86.830769230769221</v>
          </cell>
          <cell r="AA68">
            <v>98118.76923076922</v>
          </cell>
        </row>
        <row r="69">
          <cell r="E69">
            <v>2070</v>
          </cell>
          <cell r="F69" t="str">
            <v>Lowfield Community Primary School</v>
          </cell>
          <cell r="G69">
            <v>365</v>
          </cell>
          <cell r="H69">
            <v>42</v>
          </cell>
          <cell r="I69">
            <v>323</v>
          </cell>
          <cell r="N69">
            <v>0</v>
          </cell>
          <cell r="O69">
            <v>0.30039525691699603</v>
          </cell>
          <cell r="P69">
            <v>0.30039525691699603</v>
          </cell>
          <cell r="S69">
            <v>97.027667984189719</v>
          </cell>
          <cell r="U69">
            <v>0</v>
          </cell>
          <cell r="W69">
            <v>0</v>
          </cell>
          <cell r="X69">
            <v>109.64426877470355</v>
          </cell>
          <cell r="Z69">
            <v>109.64426877470355</v>
          </cell>
          <cell r="AA69">
            <v>123898.02371541501</v>
          </cell>
        </row>
        <row r="70">
          <cell r="E70">
            <v>2292</v>
          </cell>
          <cell r="F70" t="str">
            <v>Loxley Primary School</v>
          </cell>
          <cell r="G70">
            <v>209</v>
          </cell>
          <cell r="H70">
            <v>30</v>
          </cell>
          <cell r="I70">
            <v>179</v>
          </cell>
          <cell r="N70">
            <v>0</v>
          </cell>
          <cell r="O70">
            <v>0.13966480446927373</v>
          </cell>
          <cell r="P70">
            <v>0.13966480446927373</v>
          </cell>
          <cell r="S70">
            <v>25</v>
          </cell>
          <cell r="U70">
            <v>0</v>
          </cell>
          <cell r="W70">
            <v>0</v>
          </cell>
          <cell r="X70">
            <v>29.18994413407821</v>
          </cell>
          <cell r="Z70">
            <v>29.18994413407821</v>
          </cell>
          <cell r="AA70">
            <v>32984.636871508381</v>
          </cell>
        </row>
        <row r="71">
          <cell r="E71">
            <v>2072</v>
          </cell>
          <cell r="F71" t="str">
            <v>Lydgate Infant School</v>
          </cell>
          <cell r="G71">
            <v>356</v>
          </cell>
          <cell r="H71">
            <v>118</v>
          </cell>
          <cell r="I71">
            <v>238</v>
          </cell>
          <cell r="N71">
            <v>0</v>
          </cell>
          <cell r="O71">
            <v>0.29098291321265435</v>
          </cell>
          <cell r="P71">
            <v>0.29098291321265435</v>
          </cell>
          <cell r="S71">
            <v>69.253933344611738</v>
          </cell>
          <cell r="U71">
            <v>0</v>
          </cell>
          <cell r="W71">
            <v>0</v>
          </cell>
          <cell r="X71">
            <v>103.58991710370495</v>
          </cell>
          <cell r="Z71">
            <v>103.58991710370495</v>
          </cell>
          <cell r="AA71">
            <v>117056.60632718659</v>
          </cell>
        </row>
        <row r="72">
          <cell r="E72">
            <v>2071</v>
          </cell>
          <cell r="F72" t="str">
            <v>Lydgate Junior School</v>
          </cell>
          <cell r="G72">
            <v>475</v>
          </cell>
          <cell r="H72">
            <v>0</v>
          </cell>
          <cell r="I72">
            <v>475</v>
          </cell>
          <cell r="N72">
            <v>0</v>
          </cell>
          <cell r="O72">
            <v>0.23279648609077599</v>
          </cell>
          <cell r="P72">
            <v>0.23279648609077599</v>
          </cell>
          <cell r="S72">
            <v>110.5783308931186</v>
          </cell>
          <cell r="U72">
            <v>0</v>
          </cell>
          <cell r="W72">
            <v>0</v>
          </cell>
          <cell r="X72">
            <v>110.5783308931186</v>
          </cell>
          <cell r="Z72">
            <v>110.5783308931186</v>
          </cell>
          <cell r="AA72">
            <v>124953.51390922403</v>
          </cell>
        </row>
        <row r="73">
          <cell r="E73">
            <v>2358</v>
          </cell>
          <cell r="F73" t="str">
            <v>Malin Bridge Primary School</v>
          </cell>
          <cell r="G73">
            <v>522</v>
          </cell>
          <cell r="H73">
            <v>75</v>
          </cell>
          <cell r="I73">
            <v>447</v>
          </cell>
          <cell r="N73">
            <v>0</v>
          </cell>
          <cell r="O73">
            <v>0.20642201834862386</v>
          </cell>
          <cell r="P73">
            <v>0.20642201834862386</v>
          </cell>
          <cell r="S73">
            <v>92.27064220183486</v>
          </cell>
          <cell r="U73">
            <v>0</v>
          </cell>
          <cell r="W73">
            <v>0</v>
          </cell>
          <cell r="X73">
            <v>107.75229357798165</v>
          </cell>
          <cell r="Z73">
            <v>107.75229357798165</v>
          </cell>
          <cell r="AA73">
            <v>121760.09174311926</v>
          </cell>
        </row>
        <row r="74">
          <cell r="E74">
            <v>2359</v>
          </cell>
          <cell r="F74" t="str">
            <v>Manor Lodge Community Primary and Nursery School</v>
          </cell>
          <cell r="G74">
            <v>319</v>
          </cell>
          <cell r="H74">
            <v>58</v>
          </cell>
          <cell r="I74">
            <v>261</v>
          </cell>
          <cell r="N74">
            <v>0</v>
          </cell>
          <cell r="O74">
            <v>0.36734693877551022</v>
          </cell>
          <cell r="P74">
            <v>0.36734693877551022</v>
          </cell>
          <cell r="S74">
            <v>95.877551020408163</v>
          </cell>
          <cell r="U74">
            <v>0</v>
          </cell>
          <cell r="W74">
            <v>0</v>
          </cell>
          <cell r="X74">
            <v>117.18367346938776</v>
          </cell>
          <cell r="Z74">
            <v>117.18367346938776</v>
          </cell>
          <cell r="AA74">
            <v>132417.55102040817</v>
          </cell>
        </row>
        <row r="75">
          <cell r="E75">
            <v>2012</v>
          </cell>
          <cell r="F75" t="str">
            <v>Mansel Primary</v>
          </cell>
          <cell r="G75">
            <v>385</v>
          </cell>
          <cell r="H75">
            <v>45</v>
          </cell>
          <cell r="I75">
            <v>340</v>
          </cell>
          <cell r="N75">
            <v>0</v>
          </cell>
          <cell r="O75">
            <v>0.34579439252336447</v>
          </cell>
          <cell r="P75">
            <v>0.34579439252336447</v>
          </cell>
          <cell r="S75">
            <v>117.57009345794393</v>
          </cell>
          <cell r="U75">
            <v>0</v>
          </cell>
          <cell r="W75">
            <v>0</v>
          </cell>
          <cell r="X75">
            <v>133.13084112149531</v>
          </cell>
          <cell r="Z75">
            <v>133.13084112149531</v>
          </cell>
          <cell r="AA75">
            <v>150437.85046728971</v>
          </cell>
        </row>
        <row r="76">
          <cell r="E76">
            <v>2079</v>
          </cell>
          <cell r="F76" t="str">
            <v>Marlcliffe Community Primary School</v>
          </cell>
          <cell r="G76">
            <v>509</v>
          </cell>
          <cell r="H76">
            <v>74</v>
          </cell>
          <cell r="I76">
            <v>435</v>
          </cell>
          <cell r="N76">
            <v>0</v>
          </cell>
          <cell r="O76">
            <v>0.24186046511627907</v>
          </cell>
          <cell r="P76">
            <v>0.24186046511627907</v>
          </cell>
          <cell r="S76">
            <v>105.20930232558139</v>
          </cell>
          <cell r="U76">
            <v>0</v>
          </cell>
          <cell r="W76">
            <v>0</v>
          </cell>
          <cell r="X76">
            <v>123.10697674418604</v>
          </cell>
          <cell r="Z76">
            <v>123.10697674418604</v>
          </cell>
          <cell r="AA76">
            <v>139110.88372093023</v>
          </cell>
        </row>
        <row r="77">
          <cell r="E77">
            <v>2081</v>
          </cell>
          <cell r="F77" t="str">
            <v>Meersbrook Bank Primary School</v>
          </cell>
          <cell r="G77">
            <v>200</v>
          </cell>
          <cell r="H77">
            <v>30</v>
          </cell>
          <cell r="I77">
            <v>170</v>
          </cell>
          <cell r="N77">
            <v>0</v>
          </cell>
          <cell r="O77">
            <v>0.19298245614035087</v>
          </cell>
          <cell r="P77">
            <v>0.19298245614035087</v>
          </cell>
          <cell r="S77">
            <v>32.807017543859651</v>
          </cell>
          <cell r="U77">
            <v>0</v>
          </cell>
          <cell r="W77">
            <v>0</v>
          </cell>
          <cell r="X77">
            <v>38.596491228070178</v>
          </cell>
          <cell r="Z77">
            <v>38.596491228070178</v>
          </cell>
          <cell r="AA77">
            <v>43614.035087719298</v>
          </cell>
        </row>
        <row r="78">
          <cell r="E78">
            <v>2013</v>
          </cell>
          <cell r="F78" t="str">
            <v>Meynell Community Primary School</v>
          </cell>
          <cell r="G78">
            <v>361</v>
          </cell>
          <cell r="H78">
            <v>54</v>
          </cell>
          <cell r="I78">
            <v>307</v>
          </cell>
          <cell r="N78">
            <v>0</v>
          </cell>
          <cell r="O78">
            <v>0.40989399293286222</v>
          </cell>
          <cell r="P78">
            <v>0.40989399293286222</v>
          </cell>
          <cell r="S78">
            <v>125.83745583038871</v>
          </cell>
          <cell r="U78">
            <v>0</v>
          </cell>
          <cell r="W78">
            <v>0</v>
          </cell>
          <cell r="X78">
            <v>147.97173144876325</v>
          </cell>
          <cell r="Z78">
            <v>147.97173144876325</v>
          </cell>
          <cell r="AA78">
            <v>167208.05653710247</v>
          </cell>
        </row>
        <row r="79">
          <cell r="E79">
            <v>2346</v>
          </cell>
          <cell r="F79" t="str">
            <v>Monteney Primary School</v>
          </cell>
          <cell r="G79">
            <v>400</v>
          </cell>
          <cell r="H79">
            <v>47</v>
          </cell>
          <cell r="I79">
            <v>353</v>
          </cell>
          <cell r="N79">
            <v>0</v>
          </cell>
          <cell r="O79">
            <v>0.30523255813953487</v>
          </cell>
          <cell r="P79">
            <v>0.30523255813953487</v>
          </cell>
          <cell r="S79">
            <v>107.74709302325581</v>
          </cell>
          <cell r="U79">
            <v>0</v>
          </cell>
          <cell r="W79">
            <v>0</v>
          </cell>
          <cell r="X79">
            <v>122.09302325581395</v>
          </cell>
          <cell r="Z79">
            <v>122.09302325581395</v>
          </cell>
          <cell r="AA79">
            <v>137965.11627906977</v>
          </cell>
        </row>
        <row r="80">
          <cell r="E80">
            <v>2257</v>
          </cell>
          <cell r="F80" t="str">
            <v>Mosborough Primary School</v>
          </cell>
          <cell r="G80">
            <v>410</v>
          </cell>
          <cell r="H80">
            <v>59</v>
          </cell>
          <cell r="I80">
            <v>351</v>
          </cell>
          <cell r="N80">
            <v>0</v>
          </cell>
          <cell r="O80">
            <v>0.15492957746478872</v>
          </cell>
          <cell r="P80">
            <v>0.15492957746478872</v>
          </cell>
          <cell r="S80">
            <v>54.380281690140841</v>
          </cell>
          <cell r="U80">
            <v>0</v>
          </cell>
          <cell r="W80">
            <v>0</v>
          </cell>
          <cell r="X80">
            <v>63.521126760563376</v>
          </cell>
          <cell r="Z80">
            <v>63.521126760563376</v>
          </cell>
          <cell r="AA80">
            <v>71778.873239436609</v>
          </cell>
        </row>
        <row r="81">
          <cell r="E81">
            <v>2092</v>
          </cell>
          <cell r="F81" t="str">
            <v>Mundella Primary School</v>
          </cell>
          <cell r="G81">
            <v>420</v>
          </cell>
          <cell r="H81">
            <v>60</v>
          </cell>
          <cell r="I81">
            <v>360</v>
          </cell>
          <cell r="N81">
            <v>0</v>
          </cell>
          <cell r="O81">
            <v>0.20391061452513967</v>
          </cell>
          <cell r="P81">
            <v>0.20391061452513967</v>
          </cell>
          <cell r="S81">
            <v>73.407821229050285</v>
          </cell>
          <cell r="U81">
            <v>0</v>
          </cell>
          <cell r="W81">
            <v>0</v>
          </cell>
          <cell r="X81">
            <v>85.642458100558656</v>
          </cell>
          <cell r="Z81">
            <v>85.642458100558656</v>
          </cell>
          <cell r="AA81">
            <v>96775.977653631286</v>
          </cell>
        </row>
        <row r="82">
          <cell r="E82">
            <v>2002</v>
          </cell>
          <cell r="F82" t="str">
            <v>Nether Edge Primary School</v>
          </cell>
          <cell r="G82">
            <v>404</v>
          </cell>
          <cell r="H82">
            <v>60</v>
          </cell>
          <cell r="I82">
            <v>344</v>
          </cell>
          <cell r="N82">
            <v>0</v>
          </cell>
          <cell r="O82">
            <v>0.390625</v>
          </cell>
          <cell r="P82">
            <v>0.390625</v>
          </cell>
          <cell r="S82">
            <v>134.375</v>
          </cell>
          <cell r="U82">
            <v>0</v>
          </cell>
          <cell r="W82">
            <v>0</v>
          </cell>
          <cell r="X82">
            <v>157.8125</v>
          </cell>
          <cell r="Z82">
            <v>157.8125</v>
          </cell>
          <cell r="AA82">
            <v>178328.125</v>
          </cell>
        </row>
        <row r="83">
          <cell r="E83">
            <v>2221</v>
          </cell>
          <cell r="F83" t="str">
            <v>Nether Green Infant School</v>
          </cell>
          <cell r="G83">
            <v>211</v>
          </cell>
          <cell r="H83">
            <v>75</v>
          </cell>
          <cell r="I83">
            <v>136</v>
          </cell>
          <cell r="N83">
            <v>0</v>
          </cell>
          <cell r="O83">
            <v>0.29098291321265435</v>
          </cell>
          <cell r="P83">
            <v>0.29098291321265435</v>
          </cell>
          <cell r="S83">
            <v>39.573676196920992</v>
          </cell>
          <cell r="U83">
            <v>0</v>
          </cell>
          <cell r="W83">
            <v>0</v>
          </cell>
          <cell r="X83">
            <v>61.397394687870069</v>
          </cell>
          <cell r="Z83">
            <v>61.397394687870069</v>
          </cell>
          <cell r="AA83">
            <v>69379.055997293181</v>
          </cell>
        </row>
        <row r="84">
          <cell r="E84">
            <v>2087</v>
          </cell>
          <cell r="F84" t="str">
            <v>Nether Green Junior School</v>
          </cell>
          <cell r="G84">
            <v>359</v>
          </cell>
          <cell r="H84">
            <v>0</v>
          </cell>
          <cell r="I84">
            <v>359</v>
          </cell>
          <cell r="N84">
            <v>0</v>
          </cell>
          <cell r="O84">
            <v>0.19354838709677419</v>
          </cell>
          <cell r="P84">
            <v>0.19354838709677419</v>
          </cell>
          <cell r="S84">
            <v>69.483870967741936</v>
          </cell>
          <cell r="U84">
            <v>0</v>
          </cell>
          <cell r="W84">
            <v>0</v>
          </cell>
          <cell r="X84">
            <v>69.483870967741936</v>
          </cell>
          <cell r="Z84">
            <v>69.483870967741936</v>
          </cell>
          <cell r="AA84">
            <v>78516.774193548394</v>
          </cell>
        </row>
        <row r="85">
          <cell r="E85">
            <v>2272</v>
          </cell>
          <cell r="F85" t="str">
            <v>Netherthorpe Primary School</v>
          </cell>
          <cell r="G85">
            <v>206</v>
          </cell>
          <cell r="H85">
            <v>30</v>
          </cell>
          <cell r="I85">
            <v>176</v>
          </cell>
          <cell r="N85">
            <v>0</v>
          </cell>
          <cell r="O85">
            <v>0.53956834532374098</v>
          </cell>
          <cell r="P85">
            <v>0.53956834532374098</v>
          </cell>
          <cell r="S85">
            <v>94.964028776978409</v>
          </cell>
          <cell r="U85">
            <v>0</v>
          </cell>
          <cell r="W85">
            <v>0</v>
          </cell>
          <cell r="X85">
            <v>111.15107913669064</v>
          </cell>
          <cell r="Z85">
            <v>111.15107913669064</v>
          </cell>
          <cell r="AA85">
            <v>125600.71942446042</v>
          </cell>
        </row>
        <row r="86">
          <cell r="E86">
            <v>2309</v>
          </cell>
          <cell r="F86" t="str">
            <v>Nook Lane Junior School</v>
          </cell>
          <cell r="G86">
            <v>252</v>
          </cell>
          <cell r="H86">
            <v>0</v>
          </cell>
          <cell r="I86">
            <v>252</v>
          </cell>
          <cell r="N86">
            <v>0</v>
          </cell>
          <cell r="O86">
            <v>0.2446236559139785</v>
          </cell>
          <cell r="P86">
            <v>0.2446236559139785</v>
          </cell>
          <cell r="S86">
            <v>61.645161290322584</v>
          </cell>
          <cell r="U86">
            <v>0</v>
          </cell>
          <cell r="W86">
            <v>0</v>
          </cell>
          <cell r="X86">
            <v>61.645161290322584</v>
          </cell>
          <cell r="Z86">
            <v>61.645161290322584</v>
          </cell>
          <cell r="AA86">
            <v>69659.032258064515</v>
          </cell>
        </row>
        <row r="87">
          <cell r="E87">
            <v>2051</v>
          </cell>
          <cell r="F87" t="str">
            <v>Norfolk Community Primary School</v>
          </cell>
          <cell r="G87">
            <v>388</v>
          </cell>
          <cell r="H87">
            <v>59</v>
          </cell>
          <cell r="I87">
            <v>329</v>
          </cell>
          <cell r="N87">
            <v>0</v>
          </cell>
          <cell r="O87">
            <v>0.44483985765124556</v>
          </cell>
          <cell r="P87">
            <v>0.44483985765124556</v>
          </cell>
          <cell r="S87">
            <v>146.35231316725978</v>
          </cell>
          <cell r="U87">
            <v>0</v>
          </cell>
          <cell r="W87">
            <v>0</v>
          </cell>
          <cell r="X87">
            <v>172.59786476868325</v>
          </cell>
          <cell r="Z87">
            <v>172.59786476868325</v>
          </cell>
          <cell r="AA87">
            <v>195035.58718861209</v>
          </cell>
        </row>
        <row r="88">
          <cell r="E88">
            <v>3010</v>
          </cell>
          <cell r="F88" t="str">
            <v>Norton Free Church of England Primary School</v>
          </cell>
          <cell r="G88">
            <v>209</v>
          </cell>
          <cell r="H88">
            <v>30</v>
          </cell>
          <cell r="I88">
            <v>179</v>
          </cell>
          <cell r="N88">
            <v>0</v>
          </cell>
          <cell r="O88">
            <v>0.22905027932960895</v>
          </cell>
          <cell r="P88">
            <v>0.22905027932960895</v>
          </cell>
          <cell r="S88">
            <v>41</v>
          </cell>
          <cell r="U88">
            <v>0</v>
          </cell>
          <cell r="W88">
            <v>0</v>
          </cell>
          <cell r="X88">
            <v>47.871508379888269</v>
          </cell>
          <cell r="Z88">
            <v>47.871508379888269</v>
          </cell>
          <cell r="AA88">
            <v>54094.804469273746</v>
          </cell>
        </row>
        <row r="89">
          <cell r="E89">
            <v>2018</v>
          </cell>
          <cell r="F89" t="str">
            <v>Oasis Academy Fir Vale</v>
          </cell>
          <cell r="G89">
            <v>401</v>
          </cell>
          <cell r="H89">
            <v>54</v>
          </cell>
          <cell r="I89">
            <v>347</v>
          </cell>
          <cell r="N89">
            <v>0</v>
          </cell>
          <cell r="O89">
            <v>0.83771929824561409</v>
          </cell>
          <cell r="P89">
            <v>0.83771929824561409</v>
          </cell>
          <cell r="S89">
            <v>290.68859649122811</v>
          </cell>
          <cell r="U89">
            <v>0</v>
          </cell>
          <cell r="W89">
            <v>0</v>
          </cell>
          <cell r="X89">
            <v>335.92543859649129</v>
          </cell>
          <cell r="Z89">
            <v>335.92543859649129</v>
          </cell>
          <cell r="AA89">
            <v>379595.74561403517</v>
          </cell>
        </row>
        <row r="90">
          <cell r="E90">
            <v>2019</v>
          </cell>
          <cell r="F90" t="str">
            <v>Oasis Academy Watermead</v>
          </cell>
          <cell r="G90">
            <v>377</v>
          </cell>
          <cell r="H90">
            <v>60</v>
          </cell>
          <cell r="I90">
            <v>317</v>
          </cell>
          <cell r="N90">
            <v>0</v>
          </cell>
          <cell r="O90">
            <v>0.34901960784313724</v>
          </cell>
          <cell r="P90">
            <v>0.34901960784313724</v>
          </cell>
          <cell r="S90">
            <v>110.6392156862745</v>
          </cell>
          <cell r="U90">
            <v>0</v>
          </cell>
          <cell r="W90">
            <v>0</v>
          </cell>
          <cell r="X90">
            <v>131.58039215686273</v>
          </cell>
          <cell r="Z90">
            <v>131.58039215686273</v>
          </cell>
          <cell r="AA90">
            <v>148685.84313725488</v>
          </cell>
        </row>
        <row r="91">
          <cell r="E91">
            <v>2313</v>
          </cell>
          <cell r="F91" t="str">
            <v>Oughtibridge Primary School</v>
          </cell>
          <cell r="G91">
            <v>416</v>
          </cell>
          <cell r="H91">
            <v>55</v>
          </cell>
          <cell r="I91">
            <v>361</v>
          </cell>
          <cell r="N91">
            <v>0</v>
          </cell>
          <cell r="O91">
            <v>0.12813370473537605</v>
          </cell>
          <cell r="P91">
            <v>0.12813370473537605</v>
          </cell>
          <cell r="S91">
            <v>46.256267409470752</v>
          </cell>
          <cell r="U91">
            <v>0</v>
          </cell>
          <cell r="W91">
            <v>0</v>
          </cell>
          <cell r="X91">
            <v>53.30362116991644</v>
          </cell>
          <cell r="Z91">
            <v>53.30362116991644</v>
          </cell>
          <cell r="AA91">
            <v>60233.09192200558</v>
          </cell>
        </row>
        <row r="92">
          <cell r="E92">
            <v>2093</v>
          </cell>
          <cell r="F92" t="str">
            <v>Owler Brook Primary School</v>
          </cell>
          <cell r="G92">
            <v>384</v>
          </cell>
          <cell r="H92">
            <v>46</v>
          </cell>
          <cell r="I92">
            <v>338</v>
          </cell>
          <cell r="N92">
            <v>0</v>
          </cell>
          <cell r="O92">
            <v>0.5331125827814569</v>
          </cell>
          <cell r="P92">
            <v>0.5331125827814569</v>
          </cell>
          <cell r="S92">
            <v>180.19205298013244</v>
          </cell>
          <cell r="U92">
            <v>0</v>
          </cell>
          <cell r="W92">
            <v>0</v>
          </cell>
          <cell r="X92">
            <v>204.71523178807945</v>
          </cell>
          <cell r="Z92">
            <v>204.71523178807945</v>
          </cell>
          <cell r="AA92">
            <v>231328.21192052978</v>
          </cell>
        </row>
        <row r="93">
          <cell r="E93">
            <v>3428</v>
          </cell>
          <cell r="F93" t="str">
            <v>Parson Cross Church of England Primary School</v>
          </cell>
          <cell r="G93">
            <v>201</v>
          </cell>
          <cell r="H93">
            <v>30</v>
          </cell>
          <cell r="I93">
            <v>171</v>
          </cell>
          <cell r="N93">
            <v>0</v>
          </cell>
          <cell r="O93">
            <v>0.22435897435897437</v>
          </cell>
          <cell r="P93">
            <v>0.22435897435897437</v>
          </cell>
          <cell r="S93">
            <v>38.365384615384613</v>
          </cell>
          <cell r="U93">
            <v>0</v>
          </cell>
          <cell r="W93">
            <v>0</v>
          </cell>
          <cell r="X93">
            <v>45.09615384615384</v>
          </cell>
          <cell r="Z93">
            <v>45.09615384615384</v>
          </cell>
          <cell r="AA93">
            <v>50958.653846153837</v>
          </cell>
        </row>
        <row r="94">
          <cell r="E94">
            <v>2332</v>
          </cell>
          <cell r="F94" t="str">
            <v>Phillimore Community Primary School</v>
          </cell>
          <cell r="G94">
            <v>413</v>
          </cell>
          <cell r="H94">
            <v>58</v>
          </cell>
          <cell r="I94">
            <v>355</v>
          </cell>
          <cell r="N94">
            <v>0</v>
          </cell>
          <cell r="O94">
            <v>0.42268041237113402</v>
          </cell>
          <cell r="P94">
            <v>0.42268041237113402</v>
          </cell>
          <cell r="S94">
            <v>150.05154639175257</v>
          </cell>
          <cell r="U94">
            <v>0</v>
          </cell>
          <cell r="W94">
            <v>0</v>
          </cell>
          <cell r="X94">
            <v>174.56701030927834</v>
          </cell>
          <cell r="Z94">
            <v>174.56701030927834</v>
          </cell>
          <cell r="AA94">
            <v>197260.72164948453</v>
          </cell>
        </row>
        <row r="95">
          <cell r="E95">
            <v>3433</v>
          </cell>
          <cell r="F95" t="str">
            <v>Pipworth Community Primary School</v>
          </cell>
          <cell r="G95">
            <v>410</v>
          </cell>
          <cell r="H95">
            <v>56</v>
          </cell>
          <cell r="I95">
            <v>354</v>
          </cell>
          <cell r="N95">
            <v>0</v>
          </cell>
          <cell r="O95">
            <v>0.37864077669902912</v>
          </cell>
          <cell r="P95">
            <v>0.37864077669902912</v>
          </cell>
          <cell r="S95">
            <v>134.03883495145632</v>
          </cell>
          <cell r="U95">
            <v>0</v>
          </cell>
          <cell r="W95">
            <v>0</v>
          </cell>
          <cell r="X95">
            <v>155.24271844660197</v>
          </cell>
          <cell r="Z95">
            <v>155.24271844660197</v>
          </cell>
          <cell r="AA95">
            <v>175424.27184466022</v>
          </cell>
        </row>
        <row r="96">
          <cell r="E96">
            <v>3427</v>
          </cell>
          <cell r="F96" t="str">
            <v>Porter Croft Church of England Primary Academy</v>
          </cell>
          <cell r="G96">
            <v>213</v>
          </cell>
          <cell r="H96">
            <v>30</v>
          </cell>
          <cell r="I96">
            <v>183</v>
          </cell>
          <cell r="N96">
            <v>0</v>
          </cell>
          <cell r="O96">
            <v>0.33540372670807456</v>
          </cell>
          <cell r="P96">
            <v>0.33540372670807456</v>
          </cell>
          <cell r="S96">
            <v>61.378881987577643</v>
          </cell>
          <cell r="U96">
            <v>0</v>
          </cell>
          <cell r="W96">
            <v>0</v>
          </cell>
          <cell r="X96">
            <v>71.440993788819881</v>
          </cell>
          <cell r="Z96">
            <v>71.440993788819881</v>
          </cell>
          <cell r="AA96">
            <v>80728.322981366466</v>
          </cell>
        </row>
        <row r="97">
          <cell r="E97">
            <v>2347</v>
          </cell>
          <cell r="F97" t="str">
            <v>Prince Edward Primary School</v>
          </cell>
          <cell r="G97">
            <v>411</v>
          </cell>
          <cell r="H97">
            <v>60</v>
          </cell>
          <cell r="I97">
            <v>351</v>
          </cell>
          <cell r="N97">
            <v>0</v>
          </cell>
          <cell r="O97">
            <v>0.39318885448916407</v>
          </cell>
          <cell r="P97">
            <v>0.39318885448916407</v>
          </cell>
          <cell r="S97">
            <v>138.00928792569658</v>
          </cell>
          <cell r="U97">
            <v>0</v>
          </cell>
          <cell r="W97">
            <v>0</v>
          </cell>
          <cell r="X97">
            <v>161.60061919504645</v>
          </cell>
          <cell r="Z97">
            <v>161.60061919504645</v>
          </cell>
          <cell r="AA97">
            <v>182608.69969040249</v>
          </cell>
        </row>
        <row r="98">
          <cell r="E98">
            <v>2366</v>
          </cell>
          <cell r="F98" t="str">
            <v>Pye Bank CofE Primary School</v>
          </cell>
          <cell r="G98">
            <v>393</v>
          </cell>
          <cell r="H98">
            <v>51</v>
          </cell>
          <cell r="I98">
            <v>342</v>
          </cell>
          <cell r="N98">
            <v>0</v>
          </cell>
          <cell r="O98">
            <v>0.26490066225165565</v>
          </cell>
          <cell r="P98">
            <v>0.26490066225165565</v>
          </cell>
          <cell r="S98">
            <v>90.596026490066237</v>
          </cell>
          <cell r="U98">
            <v>0</v>
          </cell>
          <cell r="W98">
            <v>0</v>
          </cell>
          <cell r="X98">
            <v>104.10596026490067</v>
          </cell>
          <cell r="Z98">
            <v>104.10596026490067</v>
          </cell>
          <cell r="AA98">
            <v>117639.73509933776</v>
          </cell>
        </row>
        <row r="99">
          <cell r="E99">
            <v>2363</v>
          </cell>
          <cell r="F99" t="str">
            <v>Rainbow Forge Primary Academy</v>
          </cell>
          <cell r="G99">
            <v>288</v>
          </cell>
          <cell r="H99">
            <v>33</v>
          </cell>
          <cell r="I99">
            <v>255</v>
          </cell>
          <cell r="N99">
            <v>0</v>
          </cell>
          <cell r="O99">
            <v>0.29554655870445345</v>
          </cell>
          <cell r="P99">
            <v>0.29554655870445345</v>
          </cell>
          <cell r="S99">
            <v>75.364372469635626</v>
          </cell>
          <cell r="U99">
            <v>0</v>
          </cell>
          <cell r="W99">
            <v>0</v>
          </cell>
          <cell r="X99">
            <v>85.117408906882588</v>
          </cell>
          <cell r="Z99">
            <v>85.117408906882588</v>
          </cell>
          <cell r="AA99">
            <v>96182.672064777318</v>
          </cell>
        </row>
        <row r="100">
          <cell r="E100">
            <v>2334</v>
          </cell>
          <cell r="F100" t="str">
            <v>Reignhead Primary School</v>
          </cell>
          <cell r="G100">
            <v>264</v>
          </cell>
          <cell r="H100">
            <v>25</v>
          </cell>
          <cell r="I100">
            <v>239</v>
          </cell>
          <cell r="N100">
            <v>0</v>
          </cell>
          <cell r="O100">
            <v>0.33185840707964603</v>
          </cell>
          <cell r="P100">
            <v>0.33185840707964603</v>
          </cell>
          <cell r="S100">
            <v>79.314159292035399</v>
          </cell>
          <cell r="U100">
            <v>0</v>
          </cell>
          <cell r="W100">
            <v>0</v>
          </cell>
          <cell r="X100">
            <v>87.61061946902656</v>
          </cell>
          <cell r="Z100">
            <v>87.61061946902656</v>
          </cell>
          <cell r="AA100">
            <v>99000.000000000015</v>
          </cell>
        </row>
        <row r="101">
          <cell r="E101">
            <v>2338</v>
          </cell>
          <cell r="F101" t="str">
            <v>Rivelin Primary School</v>
          </cell>
          <cell r="G101">
            <v>318</v>
          </cell>
          <cell r="H101">
            <v>38</v>
          </cell>
          <cell r="I101">
            <v>280</v>
          </cell>
          <cell r="N101">
            <v>0</v>
          </cell>
          <cell r="O101">
            <v>0.25670498084291188</v>
          </cell>
          <cell r="P101">
            <v>0.25670498084291188</v>
          </cell>
          <cell r="S101">
            <v>71.877394636015325</v>
          </cell>
          <cell r="U101">
            <v>0</v>
          </cell>
          <cell r="W101">
            <v>0</v>
          </cell>
          <cell r="X101">
            <v>81.632183908045974</v>
          </cell>
          <cell r="Z101">
            <v>81.632183908045974</v>
          </cell>
          <cell r="AA101">
            <v>92244.367816091952</v>
          </cell>
        </row>
        <row r="102">
          <cell r="E102">
            <v>2306</v>
          </cell>
          <cell r="F102" t="str">
            <v>Royd Nursery and Infant School</v>
          </cell>
          <cell r="G102">
            <v>130</v>
          </cell>
          <cell r="H102">
            <v>47</v>
          </cell>
          <cell r="I102">
            <v>83</v>
          </cell>
          <cell r="N102">
            <v>0</v>
          </cell>
          <cell r="O102">
            <v>0.29098291321265435</v>
          </cell>
          <cell r="P102">
            <v>0.29098291321265435</v>
          </cell>
          <cell r="S102">
            <v>24.151581796650312</v>
          </cell>
          <cell r="U102">
            <v>0</v>
          </cell>
          <cell r="W102">
            <v>0</v>
          </cell>
          <cell r="X102">
            <v>37.827778717645067</v>
          </cell>
          <cell r="Z102">
            <v>37.827778717645067</v>
          </cell>
          <cell r="AA102">
            <v>42745.389950938923</v>
          </cell>
        </row>
        <row r="103">
          <cell r="E103">
            <v>3401</v>
          </cell>
          <cell r="F103" t="str">
            <v>Sacred Heart School, A Catholic Voluntary Academy</v>
          </cell>
          <cell r="G103">
            <v>206</v>
          </cell>
          <cell r="H103">
            <v>30</v>
          </cell>
          <cell r="I103">
            <v>176</v>
          </cell>
          <cell r="N103">
            <v>0</v>
          </cell>
          <cell r="O103">
            <v>0.23428571428571429</v>
          </cell>
          <cell r="P103">
            <v>0.23428571428571429</v>
          </cell>
          <cell r="S103">
            <v>41.234285714285718</v>
          </cell>
          <cell r="U103">
            <v>0</v>
          </cell>
          <cell r="W103">
            <v>0</v>
          </cell>
          <cell r="X103">
            <v>48.26285714285715</v>
          </cell>
          <cell r="Z103">
            <v>48.26285714285715</v>
          </cell>
          <cell r="AA103">
            <v>54537.028571428578</v>
          </cell>
        </row>
        <row r="104">
          <cell r="E104">
            <v>2369</v>
          </cell>
          <cell r="F104" t="str">
            <v>Sharrow Nursery, Infant and Junior School</v>
          </cell>
          <cell r="G104">
            <v>415</v>
          </cell>
          <cell r="H104">
            <v>57</v>
          </cell>
          <cell r="I104">
            <v>358</v>
          </cell>
          <cell r="N104">
            <v>0</v>
          </cell>
          <cell r="O104">
            <v>0.36050156739811912</v>
          </cell>
          <cell r="P104">
            <v>0.36050156739811912</v>
          </cell>
          <cell r="S104">
            <v>129.05956112852664</v>
          </cell>
          <cell r="U104">
            <v>0</v>
          </cell>
          <cell r="W104">
            <v>0</v>
          </cell>
          <cell r="X104">
            <v>149.60815047021944</v>
          </cell>
          <cell r="Z104">
            <v>149.60815047021944</v>
          </cell>
          <cell r="AA104">
            <v>169057.21003134796</v>
          </cell>
        </row>
        <row r="105">
          <cell r="E105">
            <v>2349</v>
          </cell>
          <cell r="F105" t="str">
            <v>Shooter's Grove Primary School</v>
          </cell>
          <cell r="G105">
            <v>354</v>
          </cell>
          <cell r="H105">
            <v>45</v>
          </cell>
          <cell r="I105">
            <v>309</v>
          </cell>
          <cell r="N105">
            <v>0</v>
          </cell>
          <cell r="O105">
            <v>0.22344322344322345</v>
          </cell>
          <cell r="P105">
            <v>0.22344322344322345</v>
          </cell>
          <cell r="S105">
            <v>69.043956043956044</v>
          </cell>
          <cell r="U105">
            <v>0</v>
          </cell>
          <cell r="W105">
            <v>0</v>
          </cell>
          <cell r="X105">
            <v>79.098901098901109</v>
          </cell>
          <cell r="Z105">
            <v>79.098901098901109</v>
          </cell>
          <cell r="AA105">
            <v>89381.75824175826</v>
          </cell>
        </row>
        <row r="106">
          <cell r="E106">
            <v>2360</v>
          </cell>
          <cell r="F106" t="str">
            <v>Shortbrook Primary School</v>
          </cell>
          <cell r="G106">
            <v>88</v>
          </cell>
          <cell r="H106">
            <v>15</v>
          </cell>
          <cell r="I106">
            <v>73</v>
          </cell>
          <cell r="N106">
            <v>0</v>
          </cell>
          <cell r="O106">
            <v>0.32786885245901637</v>
          </cell>
          <cell r="P106">
            <v>0.32786885245901637</v>
          </cell>
          <cell r="S106">
            <v>23.934426229508194</v>
          </cell>
          <cell r="U106">
            <v>0</v>
          </cell>
          <cell r="W106">
            <v>0</v>
          </cell>
          <cell r="X106">
            <v>28.852459016393439</v>
          </cell>
          <cell r="Z106">
            <v>28.852459016393439</v>
          </cell>
          <cell r="AA106">
            <v>32603.278688524588</v>
          </cell>
        </row>
        <row r="107">
          <cell r="E107">
            <v>2009</v>
          </cell>
          <cell r="F107" t="str">
            <v>Southey Green Primary School and Nurseries</v>
          </cell>
          <cell r="G107">
            <v>605</v>
          </cell>
          <cell r="H107">
            <v>89</v>
          </cell>
          <cell r="I107">
            <v>516</v>
          </cell>
          <cell r="N107">
            <v>0</v>
          </cell>
          <cell r="O107">
            <v>0.39658848614072495</v>
          </cell>
          <cell r="P107">
            <v>0.39658848614072495</v>
          </cell>
          <cell r="S107">
            <v>204.63965884861406</v>
          </cell>
          <cell r="U107">
            <v>0</v>
          </cell>
          <cell r="W107">
            <v>0</v>
          </cell>
          <cell r="X107">
            <v>239.9360341151386</v>
          </cell>
          <cell r="Z107">
            <v>239.9360341151386</v>
          </cell>
          <cell r="AA107">
            <v>271127.71855010663</v>
          </cell>
        </row>
        <row r="108">
          <cell r="E108">
            <v>2329</v>
          </cell>
          <cell r="F108" t="str">
            <v>Springfield Primary School</v>
          </cell>
          <cell r="G108">
            <v>209</v>
          </cell>
          <cell r="H108">
            <v>31</v>
          </cell>
          <cell r="I108">
            <v>178</v>
          </cell>
          <cell r="N108">
            <v>0</v>
          </cell>
          <cell r="O108">
            <v>0.34234234234234234</v>
          </cell>
          <cell r="P108">
            <v>0.34234234234234234</v>
          </cell>
          <cell r="S108">
            <v>60.936936936936938</v>
          </cell>
          <cell r="U108">
            <v>0</v>
          </cell>
          <cell r="W108">
            <v>0</v>
          </cell>
          <cell r="X108">
            <v>71.549549549549553</v>
          </cell>
          <cell r="Z108">
            <v>71.549549549549553</v>
          </cell>
          <cell r="AA108">
            <v>80850.990990990991</v>
          </cell>
        </row>
        <row r="109">
          <cell r="E109">
            <v>5202</v>
          </cell>
          <cell r="F109" t="str">
            <v>St Ann's Catholic Primary School, A Voluntary Academy</v>
          </cell>
          <cell r="G109">
            <v>92</v>
          </cell>
          <cell r="H109">
            <v>16</v>
          </cell>
          <cell r="I109">
            <v>76</v>
          </cell>
          <cell r="N109">
            <v>0</v>
          </cell>
          <cell r="O109">
            <v>0.2</v>
          </cell>
          <cell r="P109">
            <v>0.2</v>
          </cell>
          <cell r="S109">
            <v>15.200000000000001</v>
          </cell>
          <cell r="U109">
            <v>0</v>
          </cell>
          <cell r="W109">
            <v>0</v>
          </cell>
          <cell r="X109">
            <v>18.400000000000002</v>
          </cell>
          <cell r="Z109">
            <v>18.400000000000002</v>
          </cell>
          <cell r="AA109">
            <v>20792.000000000004</v>
          </cell>
        </row>
        <row r="110">
          <cell r="E110">
            <v>3402</v>
          </cell>
          <cell r="F110" t="str">
            <v>St Catherine's Catholic Primary School (Hallam)</v>
          </cell>
          <cell r="G110">
            <v>422</v>
          </cell>
          <cell r="H110">
            <v>60</v>
          </cell>
          <cell r="I110">
            <v>362</v>
          </cell>
          <cell r="N110">
            <v>0</v>
          </cell>
          <cell r="O110">
            <v>0.25214899713467048</v>
          </cell>
          <cell r="P110">
            <v>0.25214899713467048</v>
          </cell>
          <cell r="S110">
            <v>91.277936962750715</v>
          </cell>
          <cell r="U110">
            <v>0</v>
          </cell>
          <cell r="W110">
            <v>0</v>
          </cell>
          <cell r="X110">
            <v>106.40687679083095</v>
          </cell>
          <cell r="Z110">
            <v>106.40687679083095</v>
          </cell>
          <cell r="AA110">
            <v>120239.77077363897</v>
          </cell>
        </row>
        <row r="111">
          <cell r="E111">
            <v>2017</v>
          </cell>
          <cell r="F111" t="str">
            <v>St John Fisher Primary, A Catholic Voluntary Academy</v>
          </cell>
          <cell r="G111">
            <v>210</v>
          </cell>
          <cell r="H111">
            <v>26</v>
          </cell>
          <cell r="I111">
            <v>184</v>
          </cell>
          <cell r="N111">
            <v>0</v>
          </cell>
          <cell r="O111">
            <v>0.23684210526315788</v>
          </cell>
          <cell r="P111">
            <v>0.23684210526315788</v>
          </cell>
          <cell r="S111">
            <v>43.578947368421048</v>
          </cell>
          <cell r="U111">
            <v>0</v>
          </cell>
          <cell r="W111">
            <v>0</v>
          </cell>
          <cell r="X111">
            <v>49.736842105263158</v>
          </cell>
          <cell r="Z111">
            <v>49.736842105263158</v>
          </cell>
          <cell r="AA111">
            <v>56202.631578947367</v>
          </cell>
        </row>
        <row r="112">
          <cell r="E112">
            <v>5203</v>
          </cell>
          <cell r="F112" t="str">
            <v>St Joseph's Primary School</v>
          </cell>
          <cell r="G112">
            <v>204</v>
          </cell>
          <cell r="H112">
            <v>30</v>
          </cell>
          <cell r="I112">
            <v>174</v>
          </cell>
          <cell r="N112">
            <v>0</v>
          </cell>
          <cell r="O112">
            <v>0.33132530120481929</v>
          </cell>
          <cell r="P112">
            <v>0.33132530120481929</v>
          </cell>
          <cell r="S112">
            <v>57.650602409638559</v>
          </cell>
          <cell r="U112">
            <v>0</v>
          </cell>
          <cell r="W112">
            <v>0</v>
          </cell>
          <cell r="X112">
            <v>67.590361445783131</v>
          </cell>
          <cell r="Z112">
            <v>67.590361445783131</v>
          </cell>
          <cell r="AA112">
            <v>76377.108433734931</v>
          </cell>
        </row>
        <row r="113">
          <cell r="E113">
            <v>3406</v>
          </cell>
          <cell r="F113" t="str">
            <v>St Marie's School, A Catholic Voluntary Academy</v>
          </cell>
          <cell r="G113">
            <v>217</v>
          </cell>
          <cell r="H113">
            <v>30</v>
          </cell>
          <cell r="I113">
            <v>187</v>
          </cell>
          <cell r="N113">
            <v>0</v>
          </cell>
          <cell r="O113">
            <v>0.12637362637362637</v>
          </cell>
          <cell r="P113">
            <v>0.12637362637362637</v>
          </cell>
          <cell r="S113">
            <v>23.631868131868131</v>
          </cell>
          <cell r="U113">
            <v>0</v>
          </cell>
          <cell r="W113">
            <v>0</v>
          </cell>
          <cell r="X113">
            <v>27.423076923076923</v>
          </cell>
          <cell r="Z113">
            <v>27.423076923076923</v>
          </cell>
          <cell r="AA113">
            <v>30988.076923076922</v>
          </cell>
        </row>
        <row r="114">
          <cell r="E114">
            <v>2020</v>
          </cell>
          <cell r="F114" t="str">
            <v>St Mary's Church of England Primary School</v>
          </cell>
          <cell r="G114">
            <v>197</v>
          </cell>
          <cell r="H114">
            <v>30</v>
          </cell>
          <cell r="I114">
            <v>167</v>
          </cell>
          <cell r="N114">
            <v>0</v>
          </cell>
          <cell r="O114">
            <v>0.24193548387096775</v>
          </cell>
          <cell r="P114">
            <v>0.24193548387096775</v>
          </cell>
          <cell r="S114">
            <v>40.403225806451616</v>
          </cell>
          <cell r="U114">
            <v>0</v>
          </cell>
          <cell r="W114">
            <v>0</v>
          </cell>
          <cell r="X114">
            <v>47.661290322580648</v>
          </cell>
          <cell r="Z114">
            <v>47.661290322580648</v>
          </cell>
          <cell r="AA114">
            <v>53857.258064516129</v>
          </cell>
        </row>
        <row r="115">
          <cell r="E115">
            <v>3423</v>
          </cell>
          <cell r="F115" t="str">
            <v>St Mary's Primary School, A Catholic Voluntary Academy</v>
          </cell>
          <cell r="G115">
            <v>188</v>
          </cell>
          <cell r="H115">
            <v>24</v>
          </cell>
          <cell r="I115">
            <v>164</v>
          </cell>
          <cell r="N115">
            <v>0</v>
          </cell>
          <cell r="O115">
            <v>0.21476510067114093</v>
          </cell>
          <cell r="P115">
            <v>0.21476510067114093</v>
          </cell>
          <cell r="S115">
            <v>35.221476510067113</v>
          </cell>
          <cell r="U115">
            <v>0</v>
          </cell>
          <cell r="W115">
            <v>0</v>
          </cell>
          <cell r="X115">
            <v>40.375838926174495</v>
          </cell>
          <cell r="Z115">
            <v>40.375838926174495</v>
          </cell>
          <cell r="AA115">
            <v>45624.697986577179</v>
          </cell>
        </row>
        <row r="116">
          <cell r="E116">
            <v>5207</v>
          </cell>
          <cell r="F116" t="str">
            <v>St Patrick's Catholic Voluntary Academy</v>
          </cell>
          <cell r="G116">
            <v>279</v>
          </cell>
          <cell r="H116">
            <v>38</v>
          </cell>
          <cell r="I116">
            <v>241</v>
          </cell>
          <cell r="N116">
            <v>0</v>
          </cell>
          <cell r="O116">
            <v>0.27586206896551724</v>
          </cell>
          <cell r="P116">
            <v>0.27586206896551724</v>
          </cell>
          <cell r="S116">
            <v>66.482758620689651</v>
          </cell>
          <cell r="U116">
            <v>0</v>
          </cell>
          <cell r="W116">
            <v>0</v>
          </cell>
          <cell r="X116">
            <v>76.965517241379303</v>
          </cell>
          <cell r="Z116">
            <v>76.965517241379303</v>
          </cell>
          <cell r="AA116">
            <v>86971.034482758609</v>
          </cell>
        </row>
        <row r="117">
          <cell r="E117">
            <v>5208</v>
          </cell>
          <cell r="F117" t="str">
            <v>St Theresa's Catholic Primary School</v>
          </cell>
          <cell r="G117">
            <v>207</v>
          </cell>
          <cell r="H117">
            <v>30</v>
          </cell>
          <cell r="I117">
            <v>177</v>
          </cell>
          <cell r="N117">
            <v>0</v>
          </cell>
          <cell r="O117">
            <v>0.32558139534883723</v>
          </cell>
          <cell r="P117">
            <v>0.32558139534883723</v>
          </cell>
          <cell r="S117">
            <v>57.627906976744192</v>
          </cell>
          <cell r="U117">
            <v>0</v>
          </cell>
          <cell r="W117">
            <v>0</v>
          </cell>
          <cell r="X117">
            <v>67.395348837209312</v>
          </cell>
          <cell r="Z117">
            <v>67.395348837209312</v>
          </cell>
          <cell r="AA117">
            <v>76156.744186046519</v>
          </cell>
        </row>
        <row r="118">
          <cell r="E118">
            <v>3424</v>
          </cell>
          <cell r="F118" t="str">
            <v>St Thomas More Catholic Primary, A Voluntary Academy</v>
          </cell>
          <cell r="G118">
            <v>209</v>
          </cell>
          <cell r="H118">
            <v>30</v>
          </cell>
          <cell r="I118">
            <v>179</v>
          </cell>
          <cell r="N118">
            <v>0</v>
          </cell>
          <cell r="O118">
            <v>0.23463687150837989</v>
          </cell>
          <cell r="P118">
            <v>0.23463687150837989</v>
          </cell>
          <cell r="S118">
            <v>42</v>
          </cell>
          <cell r="U118">
            <v>0</v>
          </cell>
          <cell r="W118">
            <v>0</v>
          </cell>
          <cell r="X118">
            <v>49.039106145251395</v>
          </cell>
          <cell r="Z118">
            <v>49.039106145251395</v>
          </cell>
          <cell r="AA118">
            <v>55414.189944134079</v>
          </cell>
        </row>
        <row r="119">
          <cell r="E119">
            <v>3414</v>
          </cell>
          <cell r="F119" t="str">
            <v>St Thomas of Canterbury School, a Catholic Voluntary Academy</v>
          </cell>
          <cell r="G119">
            <v>211</v>
          </cell>
          <cell r="H119">
            <v>31</v>
          </cell>
          <cell r="I119">
            <v>180</v>
          </cell>
          <cell r="N119">
            <v>0</v>
          </cell>
          <cell r="O119">
            <v>0.13636363636363635</v>
          </cell>
          <cell r="P119">
            <v>0.13636363636363635</v>
          </cell>
          <cell r="S119">
            <v>24.545454545454543</v>
          </cell>
          <cell r="U119">
            <v>0</v>
          </cell>
          <cell r="W119">
            <v>0</v>
          </cell>
          <cell r="X119">
            <v>28.77272727272727</v>
          </cell>
          <cell r="Z119">
            <v>28.77272727272727</v>
          </cell>
          <cell r="AA119">
            <v>32513.181818181816</v>
          </cell>
        </row>
        <row r="120">
          <cell r="E120">
            <v>3412</v>
          </cell>
          <cell r="F120" t="str">
            <v>St Wilfrid's Catholic Primary School</v>
          </cell>
          <cell r="G120">
            <v>307</v>
          </cell>
          <cell r="H120">
            <v>42</v>
          </cell>
          <cell r="I120">
            <v>265</v>
          </cell>
          <cell r="N120">
            <v>0</v>
          </cell>
          <cell r="O120">
            <v>5.3030303030303032E-2</v>
          </cell>
          <cell r="P120">
            <v>5.3030303030303032E-2</v>
          </cell>
          <cell r="S120">
            <v>14.053030303030303</v>
          </cell>
          <cell r="U120">
            <v>0</v>
          </cell>
          <cell r="W120">
            <v>0</v>
          </cell>
          <cell r="X120">
            <v>16.280303030303031</v>
          </cell>
          <cell r="Z120">
            <v>16.280303030303031</v>
          </cell>
          <cell r="AA120">
            <v>18396.742424242424</v>
          </cell>
        </row>
        <row r="121">
          <cell r="E121">
            <v>2294</v>
          </cell>
          <cell r="F121" t="str">
            <v>Stannington Infant School</v>
          </cell>
          <cell r="G121">
            <v>181</v>
          </cell>
          <cell r="H121">
            <v>60</v>
          </cell>
          <cell r="I121">
            <v>121</v>
          </cell>
          <cell r="N121">
            <v>0</v>
          </cell>
          <cell r="O121">
            <v>0.29098291321265429</v>
          </cell>
          <cell r="P121">
            <v>0.29098291321265429</v>
          </cell>
          <cell r="S121">
            <v>35.208932498731173</v>
          </cell>
          <cell r="U121">
            <v>0</v>
          </cell>
          <cell r="W121">
            <v>0</v>
          </cell>
          <cell r="X121">
            <v>52.66790729149043</v>
          </cell>
          <cell r="Z121">
            <v>52.66790729149043</v>
          </cell>
          <cell r="AA121">
            <v>59514.735239384187</v>
          </cell>
        </row>
        <row r="122">
          <cell r="E122">
            <v>2303</v>
          </cell>
          <cell r="F122" t="str">
            <v>Stocksbridge Junior School</v>
          </cell>
          <cell r="G122">
            <v>308</v>
          </cell>
          <cell r="H122">
            <v>0</v>
          </cell>
          <cell r="I122">
            <v>308</v>
          </cell>
          <cell r="N122">
            <v>0</v>
          </cell>
          <cell r="O122">
            <v>0.31639722863741337</v>
          </cell>
          <cell r="P122">
            <v>0.31639722863741337</v>
          </cell>
          <cell r="S122">
            <v>97.450346420323314</v>
          </cell>
          <cell r="U122">
            <v>0</v>
          </cell>
          <cell r="W122">
            <v>0</v>
          </cell>
          <cell r="X122">
            <v>97.450346420323314</v>
          </cell>
          <cell r="Z122">
            <v>97.450346420323314</v>
          </cell>
          <cell r="AA122">
            <v>110118.89145496534</v>
          </cell>
        </row>
        <row r="123">
          <cell r="E123">
            <v>2302</v>
          </cell>
          <cell r="F123" t="str">
            <v>Stocksbridge Nursery Infant School</v>
          </cell>
          <cell r="G123">
            <v>194</v>
          </cell>
          <cell r="H123">
            <v>75</v>
          </cell>
          <cell r="I123">
            <v>119</v>
          </cell>
          <cell r="N123">
            <v>0</v>
          </cell>
          <cell r="O123">
            <v>0.29098291321265435</v>
          </cell>
          <cell r="P123">
            <v>0.29098291321265435</v>
          </cell>
          <cell r="S123">
            <v>34.626966672305869</v>
          </cell>
          <cell r="U123">
            <v>0</v>
          </cell>
          <cell r="W123">
            <v>0</v>
          </cell>
          <cell r="X123">
            <v>56.450685163254946</v>
          </cell>
          <cell r="Z123">
            <v>56.450685163254946</v>
          </cell>
          <cell r="AA123">
            <v>63789.274234478085</v>
          </cell>
        </row>
        <row r="124">
          <cell r="E124">
            <v>2350</v>
          </cell>
          <cell r="F124" t="str">
            <v>Stradbroke Primary School</v>
          </cell>
          <cell r="G124">
            <v>412</v>
          </cell>
          <cell r="H124">
            <v>58</v>
          </cell>
          <cell r="I124">
            <v>354</v>
          </cell>
          <cell r="N124">
            <v>0</v>
          </cell>
          <cell r="O124">
            <v>0.42450142450142453</v>
          </cell>
          <cell r="P124">
            <v>0.42450142450142453</v>
          </cell>
          <cell r="S124">
            <v>150.27350427350427</v>
          </cell>
          <cell r="U124">
            <v>0</v>
          </cell>
          <cell r="W124">
            <v>0</v>
          </cell>
          <cell r="X124">
            <v>174.89458689458689</v>
          </cell>
          <cell r="Z124">
            <v>174.89458689458689</v>
          </cell>
          <cell r="AA124">
            <v>197630.88319088318</v>
          </cell>
        </row>
        <row r="125">
          <cell r="E125">
            <v>2230</v>
          </cell>
          <cell r="F125" t="str">
            <v>Tinsley Meadows Primary School</v>
          </cell>
          <cell r="G125">
            <v>543</v>
          </cell>
          <cell r="H125">
            <v>76</v>
          </cell>
          <cell r="I125">
            <v>467</v>
          </cell>
          <cell r="N125">
            <v>0</v>
          </cell>
          <cell r="O125">
            <v>0.30606860158311344</v>
          </cell>
          <cell r="P125">
            <v>0.30606860158311344</v>
          </cell>
          <cell r="S125">
            <v>142.93403693931398</v>
          </cell>
          <cell r="U125">
            <v>0</v>
          </cell>
          <cell r="W125">
            <v>0</v>
          </cell>
          <cell r="X125">
            <v>166.1952506596306</v>
          </cell>
          <cell r="Z125">
            <v>166.1952506596306</v>
          </cell>
          <cell r="AA125">
            <v>187800.63324538257</v>
          </cell>
        </row>
        <row r="126">
          <cell r="E126">
            <v>5206</v>
          </cell>
          <cell r="F126" t="str">
            <v>Totley All Saints Church of England Voluntary Aided Primary School</v>
          </cell>
          <cell r="G126">
            <v>214</v>
          </cell>
          <cell r="H126">
            <v>29</v>
          </cell>
          <cell r="I126">
            <v>185</v>
          </cell>
          <cell r="N126">
            <v>0</v>
          </cell>
          <cell r="O126">
            <v>0.22222222222222221</v>
          </cell>
          <cell r="P126">
            <v>0.22222222222222221</v>
          </cell>
          <cell r="S126">
            <v>41.111111111111107</v>
          </cell>
          <cell r="U126">
            <v>0</v>
          </cell>
          <cell r="W126">
            <v>0</v>
          </cell>
          <cell r="X126">
            <v>47.55555555555555</v>
          </cell>
          <cell r="Z126">
            <v>47.55555555555555</v>
          </cell>
          <cell r="AA126">
            <v>53737.777777777774</v>
          </cell>
        </row>
        <row r="127">
          <cell r="E127">
            <v>2203</v>
          </cell>
          <cell r="F127" t="str">
            <v>Totley Primary School</v>
          </cell>
          <cell r="G127">
            <v>399</v>
          </cell>
          <cell r="H127">
            <v>60</v>
          </cell>
          <cell r="I127">
            <v>339</v>
          </cell>
          <cell r="N127">
            <v>0</v>
          </cell>
          <cell r="O127">
            <v>0.16568047337278108</v>
          </cell>
          <cell r="P127">
            <v>0.16568047337278108</v>
          </cell>
          <cell r="S127">
            <v>56.165680473372788</v>
          </cell>
          <cell r="U127">
            <v>0</v>
          </cell>
          <cell r="W127">
            <v>0</v>
          </cell>
          <cell r="X127">
            <v>66.10650887573965</v>
          </cell>
          <cell r="Z127">
            <v>66.10650887573965</v>
          </cell>
          <cell r="AA127">
            <v>74700.3550295858</v>
          </cell>
        </row>
        <row r="128">
          <cell r="E128">
            <v>2351</v>
          </cell>
          <cell r="F128" t="str">
            <v>Walkley Primary School</v>
          </cell>
          <cell r="G128">
            <v>345</v>
          </cell>
          <cell r="H128">
            <v>58</v>
          </cell>
          <cell r="I128">
            <v>287</v>
          </cell>
          <cell r="N128">
            <v>0</v>
          </cell>
          <cell r="O128">
            <v>0.26978417266187049</v>
          </cell>
          <cell r="P128">
            <v>0.26978417266187049</v>
          </cell>
          <cell r="S128">
            <v>77.428057553956833</v>
          </cell>
          <cell r="U128">
            <v>0</v>
          </cell>
          <cell r="W128">
            <v>0</v>
          </cell>
          <cell r="X128">
            <v>93.07553956834532</v>
          </cell>
          <cell r="Z128">
            <v>93.07553956834532</v>
          </cell>
          <cell r="AA128">
            <v>105175.35971223022</v>
          </cell>
        </row>
        <row r="129">
          <cell r="E129">
            <v>3432</v>
          </cell>
          <cell r="F129" t="str">
            <v>Watercliffe Meadow Community Primary School</v>
          </cell>
          <cell r="G129">
            <v>407</v>
          </cell>
          <cell r="H129">
            <v>60</v>
          </cell>
          <cell r="I129">
            <v>347</v>
          </cell>
          <cell r="N129">
            <v>0</v>
          </cell>
          <cell r="O129">
            <v>0.39143730886850153</v>
          </cell>
          <cell r="P129">
            <v>0.39143730886850153</v>
          </cell>
          <cell r="S129">
            <v>135.82874617737002</v>
          </cell>
          <cell r="U129">
            <v>0</v>
          </cell>
          <cell r="W129">
            <v>0</v>
          </cell>
          <cell r="X129">
            <v>159.31498470948011</v>
          </cell>
          <cell r="Z129">
            <v>159.31498470948011</v>
          </cell>
          <cell r="AA129">
            <v>180025.93272171254</v>
          </cell>
        </row>
        <row r="130">
          <cell r="E130">
            <v>2319</v>
          </cell>
          <cell r="F130" t="str">
            <v>Waterthorpe Infant School</v>
          </cell>
          <cell r="G130">
            <v>124</v>
          </cell>
          <cell r="H130">
            <v>38</v>
          </cell>
          <cell r="I130">
            <v>86</v>
          </cell>
          <cell r="N130">
            <v>0</v>
          </cell>
          <cell r="O130">
            <v>0.29098291321265435</v>
          </cell>
          <cell r="P130">
            <v>0.29098291321265435</v>
          </cell>
          <cell r="S130">
            <v>25.024530536288275</v>
          </cell>
          <cell r="U130">
            <v>0</v>
          </cell>
          <cell r="W130">
            <v>0</v>
          </cell>
          <cell r="X130">
            <v>36.081881238369142</v>
          </cell>
          <cell r="Z130">
            <v>36.081881238369142</v>
          </cell>
          <cell r="AA130">
            <v>40772.525799357129</v>
          </cell>
        </row>
        <row r="131">
          <cell r="E131">
            <v>2352</v>
          </cell>
          <cell r="F131" t="str">
            <v>Westways Primary School</v>
          </cell>
          <cell r="G131">
            <v>572</v>
          </cell>
          <cell r="H131">
            <v>83</v>
          </cell>
          <cell r="I131">
            <v>489</v>
          </cell>
          <cell r="N131">
            <v>0</v>
          </cell>
          <cell r="O131">
            <v>0.19312169312169311</v>
          </cell>
          <cell r="P131">
            <v>0.19312169312169311</v>
          </cell>
          <cell r="S131">
            <v>94.436507936507937</v>
          </cell>
          <cell r="U131">
            <v>0</v>
          </cell>
          <cell r="W131">
            <v>0</v>
          </cell>
          <cell r="X131">
            <v>110.46560846560845</v>
          </cell>
          <cell r="Z131">
            <v>110.46560846560845</v>
          </cell>
          <cell r="AA131">
            <v>124826.13756613755</v>
          </cell>
        </row>
        <row r="132">
          <cell r="E132">
            <v>2311</v>
          </cell>
          <cell r="F132" t="str">
            <v>Wharncliffe Side Primary School</v>
          </cell>
          <cell r="G132">
            <v>141</v>
          </cell>
          <cell r="H132">
            <v>16</v>
          </cell>
          <cell r="I132">
            <v>125</v>
          </cell>
          <cell r="N132">
            <v>0</v>
          </cell>
          <cell r="O132">
            <v>0.41935483870967744</v>
          </cell>
          <cell r="P132">
            <v>0.41935483870967744</v>
          </cell>
          <cell r="S132">
            <v>52.41935483870968</v>
          </cell>
          <cell r="U132">
            <v>0</v>
          </cell>
          <cell r="W132">
            <v>0</v>
          </cell>
          <cell r="X132">
            <v>59.12903225806452</v>
          </cell>
          <cell r="Z132">
            <v>59.12903225806452</v>
          </cell>
          <cell r="AA132">
            <v>66815.806451612909</v>
          </cell>
        </row>
        <row r="133">
          <cell r="E133">
            <v>2040</v>
          </cell>
          <cell r="F133" t="str">
            <v>Whiteways Primary School</v>
          </cell>
          <cell r="G133">
            <v>408</v>
          </cell>
          <cell r="H133">
            <v>47</v>
          </cell>
          <cell r="I133">
            <v>361</v>
          </cell>
          <cell r="N133">
            <v>0</v>
          </cell>
          <cell r="O133">
            <v>0.52090032154340837</v>
          </cell>
          <cell r="P133">
            <v>0.52090032154340837</v>
          </cell>
          <cell r="S133">
            <v>188.04501607717043</v>
          </cell>
          <cell r="U133">
            <v>0</v>
          </cell>
          <cell r="W133">
            <v>0</v>
          </cell>
          <cell r="X133">
            <v>212.52733118971062</v>
          </cell>
          <cell r="Z133">
            <v>212.52733118971062</v>
          </cell>
          <cell r="AA133">
            <v>240155.88424437301</v>
          </cell>
        </row>
        <row r="134">
          <cell r="E134">
            <v>2027</v>
          </cell>
          <cell r="F134" t="str">
            <v>Wincobank Nursery and Infant School</v>
          </cell>
          <cell r="G134">
            <v>122</v>
          </cell>
          <cell r="H134">
            <v>41</v>
          </cell>
          <cell r="I134">
            <v>81</v>
          </cell>
          <cell r="N134">
            <v>0</v>
          </cell>
          <cell r="O134">
            <v>0.29098291321265435</v>
          </cell>
          <cell r="P134">
            <v>0.29098291321265435</v>
          </cell>
          <cell r="S134">
            <v>23.569615970225001</v>
          </cell>
          <cell r="U134">
            <v>0</v>
          </cell>
          <cell r="W134">
            <v>0</v>
          </cell>
          <cell r="X134">
            <v>35.499915411943832</v>
          </cell>
          <cell r="Z134">
            <v>35.499915411943832</v>
          </cell>
          <cell r="AA134">
            <v>40114.90441549653</v>
          </cell>
        </row>
        <row r="135">
          <cell r="E135">
            <v>2361</v>
          </cell>
          <cell r="F135" t="str">
            <v>Windmill Hill Primary School</v>
          </cell>
          <cell r="G135">
            <v>317</v>
          </cell>
          <cell r="H135">
            <v>31</v>
          </cell>
          <cell r="I135">
            <v>286</v>
          </cell>
          <cell r="N135">
            <v>0</v>
          </cell>
          <cell r="O135">
            <v>0.25324675324675322</v>
          </cell>
          <cell r="P135">
            <v>0.25324675324675322</v>
          </cell>
          <cell r="S135">
            <v>72.428571428571416</v>
          </cell>
          <cell r="U135">
            <v>0</v>
          </cell>
          <cell r="W135">
            <v>0</v>
          </cell>
          <cell r="X135">
            <v>80.279220779220765</v>
          </cell>
          <cell r="Z135">
            <v>80.279220779220765</v>
          </cell>
          <cell r="AA135">
            <v>90715.519480519462</v>
          </cell>
        </row>
        <row r="136">
          <cell r="E136">
            <v>2043</v>
          </cell>
          <cell r="F136" t="str">
            <v>Wisewood Community Primary School</v>
          </cell>
          <cell r="G136">
            <v>153</v>
          </cell>
          <cell r="H136">
            <v>20</v>
          </cell>
          <cell r="I136">
            <v>133</v>
          </cell>
          <cell r="N136">
            <v>0</v>
          </cell>
          <cell r="O136">
            <v>0.37121212121212122</v>
          </cell>
          <cell r="P136">
            <v>0.37121212121212122</v>
          </cell>
          <cell r="S136">
            <v>49.371212121212125</v>
          </cell>
          <cell r="U136">
            <v>0</v>
          </cell>
          <cell r="W136">
            <v>0</v>
          </cell>
          <cell r="X136">
            <v>56.795454545454547</v>
          </cell>
          <cell r="Z136">
            <v>56.795454545454547</v>
          </cell>
          <cell r="AA136">
            <v>64178.86363636364</v>
          </cell>
        </row>
        <row r="137">
          <cell r="E137">
            <v>2139</v>
          </cell>
          <cell r="F137" t="str">
            <v>Woodhouse West Primary School</v>
          </cell>
          <cell r="G137">
            <v>343</v>
          </cell>
          <cell r="H137">
            <v>44</v>
          </cell>
          <cell r="I137">
            <v>299</v>
          </cell>
          <cell r="N137">
            <v>0</v>
          </cell>
          <cell r="O137">
            <v>0.39189189189189189</v>
          </cell>
          <cell r="P137">
            <v>0.39189189189189189</v>
          </cell>
          <cell r="S137">
            <v>117.17567567567568</v>
          </cell>
          <cell r="U137">
            <v>0</v>
          </cell>
          <cell r="W137">
            <v>0</v>
          </cell>
          <cell r="X137">
            <v>134.41891891891891</v>
          </cell>
          <cell r="Z137">
            <v>134.41891891891891</v>
          </cell>
          <cell r="AA137">
            <v>151893.37837837837</v>
          </cell>
        </row>
        <row r="138">
          <cell r="E138">
            <v>2034</v>
          </cell>
          <cell r="F138" t="str">
            <v>Woodlands Primary (Valley Park) Community School</v>
          </cell>
          <cell r="G138">
            <v>354</v>
          </cell>
          <cell r="H138">
            <v>42</v>
          </cell>
          <cell r="I138">
            <v>312</v>
          </cell>
          <cell r="N138">
            <v>0</v>
          </cell>
          <cell r="O138">
            <v>0.35943060498220641</v>
          </cell>
          <cell r="P138">
            <v>0.35943060498220641</v>
          </cell>
          <cell r="S138">
            <v>112.14234875444841</v>
          </cell>
          <cell r="U138">
            <v>0</v>
          </cell>
          <cell r="W138">
            <v>0</v>
          </cell>
          <cell r="X138">
            <v>127.23843416370107</v>
          </cell>
          <cell r="Z138">
            <v>127.23843416370107</v>
          </cell>
          <cell r="AA138">
            <v>143779.43060498222</v>
          </cell>
        </row>
        <row r="139">
          <cell r="E139">
            <v>2324</v>
          </cell>
          <cell r="F139" t="str">
            <v>Woodseats Primary School</v>
          </cell>
          <cell r="G139">
            <v>375</v>
          </cell>
          <cell r="H139">
            <v>57</v>
          </cell>
          <cell r="I139">
            <v>318</v>
          </cell>
          <cell r="N139">
            <v>0</v>
          </cell>
          <cell r="O139">
            <v>0.24232081911262798</v>
          </cell>
          <cell r="P139">
            <v>0.24232081911262798</v>
          </cell>
          <cell r="S139">
            <v>77.058020477815703</v>
          </cell>
          <cell r="U139">
            <v>0</v>
          </cell>
          <cell r="W139">
            <v>0</v>
          </cell>
          <cell r="X139">
            <v>90.870307167235495</v>
          </cell>
          <cell r="Z139">
            <v>90.870307167235495</v>
          </cell>
          <cell r="AA139">
            <v>102683.4470989761</v>
          </cell>
        </row>
        <row r="140">
          <cell r="E140">
            <v>2327</v>
          </cell>
          <cell r="F140" t="str">
            <v>Woodthorpe Primary School</v>
          </cell>
          <cell r="G140">
            <v>396</v>
          </cell>
          <cell r="H140">
            <v>51</v>
          </cell>
          <cell r="I140">
            <v>345</v>
          </cell>
          <cell r="N140">
            <v>0</v>
          </cell>
          <cell r="O140">
            <v>0.33823529411764708</v>
          </cell>
          <cell r="P140">
            <v>0.33823529411764708</v>
          </cell>
          <cell r="S140">
            <v>116.69117647058825</v>
          </cell>
          <cell r="U140">
            <v>0</v>
          </cell>
          <cell r="W140">
            <v>0</v>
          </cell>
          <cell r="X140">
            <v>133.94117647058823</v>
          </cell>
          <cell r="Z140">
            <v>133.94117647058823</v>
          </cell>
          <cell r="AA140">
            <v>151353.5294117647</v>
          </cell>
        </row>
        <row r="141">
          <cell r="E141">
            <v>2321</v>
          </cell>
          <cell r="F141" t="str">
            <v>Wybourn Community Primary &amp; Nursery School</v>
          </cell>
          <cell r="G141">
            <v>413</v>
          </cell>
          <cell r="H141">
            <v>60</v>
          </cell>
          <cell r="I141">
            <v>353</v>
          </cell>
          <cell r="N141">
            <v>0</v>
          </cell>
          <cell r="O141">
            <v>0.48255813953488375</v>
          </cell>
          <cell r="P141">
            <v>0.48255813953488375</v>
          </cell>
          <cell r="S141">
            <v>170.34302325581396</v>
          </cell>
          <cell r="U141">
            <v>0</v>
          </cell>
          <cell r="W141">
            <v>0</v>
          </cell>
          <cell r="X141">
            <v>199.29651162790699</v>
          </cell>
          <cell r="Z141">
            <v>199.29651162790699</v>
          </cell>
          <cell r="AA141">
            <v>225205.0581395349</v>
          </cell>
        </row>
        <row r="143">
          <cell r="F143" t="str">
            <v>Total Primary</v>
          </cell>
          <cell r="G143">
            <v>43067</v>
          </cell>
          <cell r="H143">
            <v>5965</v>
          </cell>
          <cell r="I143">
            <v>37102</v>
          </cell>
          <cell r="O143">
            <v>0.86149488007058772</v>
          </cell>
          <cell r="P143">
            <v>0.86149488007058772</v>
          </cell>
          <cell r="S143">
            <v>11052.055832611968</v>
          </cell>
          <cell r="U143">
            <v>0</v>
          </cell>
          <cell r="W143">
            <v>0</v>
          </cell>
          <cell r="X143">
            <v>12844.900615608482</v>
          </cell>
          <cell r="Z143">
            <v>12844.900615608482</v>
          </cell>
          <cell r="AA143">
            <v>14514737.695637578</v>
          </cell>
        </row>
        <row r="144">
          <cell r="G144">
            <v>0</v>
          </cell>
          <cell r="I144">
            <v>0.86149488007058772</v>
          </cell>
          <cell r="S144">
            <v>0.29788302066228151</v>
          </cell>
          <cell r="T144">
            <v>0</v>
          </cell>
          <cell r="Z144">
            <v>0.29825389777807793</v>
          </cell>
          <cell r="AA144">
            <v>0</v>
          </cell>
        </row>
        <row r="145">
          <cell r="N145" t="str">
            <v>Weighting</v>
          </cell>
          <cell r="O145">
            <v>0.64527133999999997</v>
          </cell>
          <cell r="Q145">
            <v>0.64527133999999997</v>
          </cell>
          <cell r="R145">
            <v>0.64527133999999997</v>
          </cell>
          <cell r="S145">
            <v>0.63585522999999999</v>
          </cell>
          <cell r="T145">
            <v>0.58045405000000005</v>
          </cell>
          <cell r="U145" t="str">
            <v>check apt</v>
          </cell>
          <cell r="Z145">
            <v>1.2789769243681803E-13</v>
          </cell>
        </row>
        <row r="146">
          <cell r="G146" t="str">
            <v>Pupils NOR</v>
          </cell>
          <cell r="I146" t="str">
            <v>Y7</v>
          </cell>
          <cell r="J146" t="str">
            <v>Y8</v>
          </cell>
          <cell r="K146" t="str">
            <v>Y9</v>
          </cell>
          <cell r="L146" t="str">
            <v>Y10</v>
          </cell>
          <cell r="M146" t="str">
            <v>Y11</v>
          </cell>
          <cell r="O146" t="str">
            <v>Proportion of Y7 Pupils Under New Method</v>
          </cell>
          <cell r="P146" t="str">
            <v>col req. for 3-16 schools primary aged pupils</v>
          </cell>
          <cell r="Q146" t="str">
            <v>Proportion of Y8 Pupils Under New Method</v>
          </cell>
          <cell r="R146" t="str">
            <v>Proportion of Y9 Pupils Under New Method</v>
          </cell>
          <cell r="S146" t="str">
            <v>Proportion of Y10 Pupils Under Old Method</v>
          </cell>
          <cell r="T146" t="str">
            <v>Proportion of Y11 Pupils Under Old Method</v>
          </cell>
          <cell r="U146" t="str">
            <v>No. of Low Attain Pupils Y7</v>
          </cell>
          <cell r="V146" t="str">
            <v>No. of Low Attain Pupils Y8</v>
          </cell>
          <cell r="W146" t="str">
            <v>No. of Low Attain Pupils Y9</v>
          </cell>
          <cell r="X146" t="str">
            <v>No. of Low Attain Pupils Y10</v>
          </cell>
          <cell r="Y146" t="str">
            <v>No. of Low Attain Pupils Y11</v>
          </cell>
          <cell r="Z146" t="str">
            <v>No of Weighted Low Attain Pupils as Proportion of Whole School</v>
          </cell>
        </row>
        <row r="147">
          <cell r="F147" t="str">
            <v>Secondary</v>
          </cell>
          <cell r="I147">
            <v>19</v>
          </cell>
          <cell r="J147">
            <v>20</v>
          </cell>
          <cell r="K147">
            <v>21</v>
          </cell>
          <cell r="L147">
            <v>22</v>
          </cell>
          <cell r="M147">
            <v>23</v>
          </cell>
          <cell r="O147">
            <v>51</v>
          </cell>
          <cell r="Q147">
            <v>52</v>
          </cell>
          <cell r="R147">
            <v>53</v>
          </cell>
          <cell r="S147">
            <v>54</v>
          </cell>
          <cell r="T147">
            <v>55</v>
          </cell>
          <cell r="U147" t="str">
            <v>Weighted No.</v>
          </cell>
          <cell r="V147" t="str">
            <v>Weighted No.</v>
          </cell>
          <cell r="W147" t="str">
            <v>Weighted No.</v>
          </cell>
          <cell r="X147" t="str">
            <v>Weighted No.</v>
          </cell>
        </row>
        <row r="149">
          <cell r="E149">
            <v>5401</v>
          </cell>
          <cell r="F149" t="str">
            <v>All Saints' Catholic High School</v>
          </cell>
          <cell r="G149">
            <v>1023</v>
          </cell>
          <cell r="I149">
            <v>209</v>
          </cell>
          <cell r="J149">
            <v>208</v>
          </cell>
          <cell r="K149">
            <v>203</v>
          </cell>
          <cell r="L149">
            <v>203</v>
          </cell>
          <cell r="M149">
            <v>200</v>
          </cell>
          <cell r="N149">
            <v>0</v>
          </cell>
          <cell r="O149">
            <v>0.33165829145728598</v>
          </cell>
          <cell r="Q149">
            <v>0.33165829145728598</v>
          </cell>
          <cell r="R149">
            <v>0.33165829145728598</v>
          </cell>
          <cell r="S149">
            <v>0.37563451776649698</v>
          </cell>
          <cell r="T149">
            <v>0.36363636363636398</v>
          </cell>
          <cell r="U149">
            <v>44.728004341507479</v>
          </cell>
          <cell r="V149">
            <v>44.513994751356726</v>
          </cell>
          <cell r="W149">
            <v>43.443946800602951</v>
          </cell>
          <cell r="X149">
            <v>48.48638205614207</v>
          </cell>
          <cell r="Y149">
            <v>42.214840000000038</v>
          </cell>
          <cell r="Z149">
            <v>223.38716794960928</v>
          </cell>
          <cell r="AA149">
            <v>381992.05719383189</v>
          </cell>
        </row>
        <row r="150">
          <cell r="E150">
            <v>4017</v>
          </cell>
          <cell r="F150" t="str">
            <v>Bradfield School</v>
          </cell>
          <cell r="G150">
            <v>1081</v>
          </cell>
          <cell r="I150">
            <v>216</v>
          </cell>
          <cell r="J150">
            <v>236</v>
          </cell>
          <cell r="K150">
            <v>228</v>
          </cell>
          <cell r="L150">
            <v>202</v>
          </cell>
          <cell r="M150">
            <v>199</v>
          </cell>
          <cell r="N150">
            <v>0</v>
          </cell>
          <cell r="O150">
            <v>0.22666666666666699</v>
          </cell>
          <cell r="Q150">
            <v>0.22666666666666699</v>
          </cell>
          <cell r="R150">
            <v>0.22666666666666699</v>
          </cell>
          <cell r="S150">
            <v>0.22</v>
          </cell>
          <cell r="T150">
            <v>0.25</v>
          </cell>
          <cell r="U150">
            <v>31.592484806400044</v>
          </cell>
          <cell r="V150">
            <v>34.517714881066716</v>
          </cell>
          <cell r="W150">
            <v>33.347622851200043</v>
          </cell>
          <cell r="X150">
            <v>28.257406421199999</v>
          </cell>
          <cell r="Y150">
            <v>28.877588987500001</v>
          </cell>
          <cell r="Z150">
            <v>156.5928179473668</v>
          </cell>
          <cell r="AA150">
            <v>267773.71868999721</v>
          </cell>
        </row>
        <row r="151">
          <cell r="E151">
            <v>4000</v>
          </cell>
          <cell r="F151" t="str">
            <v>Chaucer School</v>
          </cell>
          <cell r="G151">
            <v>820</v>
          </cell>
          <cell r="I151">
            <v>159</v>
          </cell>
          <cell r="J151">
            <v>173</v>
          </cell>
          <cell r="K151">
            <v>155</v>
          </cell>
          <cell r="L151">
            <v>168</v>
          </cell>
          <cell r="M151">
            <v>165</v>
          </cell>
          <cell r="N151">
            <v>0</v>
          </cell>
          <cell r="O151">
            <v>0.51315789473684204</v>
          </cell>
          <cell r="Q151">
            <v>0.51315789473684204</v>
          </cell>
          <cell r="R151">
            <v>0.51315789473684204</v>
          </cell>
          <cell r="S151">
            <v>0.48484848484848497</v>
          </cell>
          <cell r="T151">
            <v>0.47770700636942698</v>
          </cell>
          <cell r="U151">
            <v>52.64904709657894</v>
          </cell>
          <cell r="V151">
            <v>57.284812249736831</v>
          </cell>
          <cell r="W151">
            <v>51.324542767105257</v>
          </cell>
          <cell r="X151">
            <v>51.793298734545473</v>
          </cell>
          <cell r="Y151">
            <v>45.752349482484107</v>
          </cell>
          <cell r="Z151">
            <v>258.80405033045065</v>
          </cell>
          <cell r="AA151">
            <v>442554.92606507061</v>
          </cell>
        </row>
        <row r="152">
          <cell r="E152">
            <v>4012</v>
          </cell>
          <cell r="F152" t="str">
            <v>Ecclesfield School</v>
          </cell>
          <cell r="G152">
            <v>1676</v>
          </cell>
          <cell r="I152">
            <v>345</v>
          </cell>
          <cell r="J152">
            <v>356</v>
          </cell>
          <cell r="K152">
            <v>320</v>
          </cell>
          <cell r="L152">
            <v>331</v>
          </cell>
          <cell r="M152">
            <v>324</v>
          </cell>
          <cell r="N152">
            <v>0</v>
          </cell>
          <cell r="O152">
            <v>0.39432176656151402</v>
          </cell>
          <cell r="Q152">
            <v>0.39432176656151402</v>
          </cell>
          <cell r="R152">
            <v>0.39432176656151402</v>
          </cell>
          <cell r="S152">
            <v>0.43292682926829301</v>
          </cell>
          <cell r="T152">
            <v>0.37931034482758602</v>
          </cell>
          <cell r="U152">
            <v>87.783364471608792</v>
          </cell>
          <cell r="V152">
            <v>90.582254353312265</v>
          </cell>
          <cell r="W152">
            <v>81.422251104100908</v>
          </cell>
          <cell r="X152">
            <v>91.11727902579274</v>
          </cell>
          <cell r="Y152">
            <v>71.335801179310309</v>
          </cell>
          <cell r="Z152">
            <v>422.24095013412494</v>
          </cell>
          <cell r="AA152">
            <v>722032.02472935361</v>
          </cell>
        </row>
        <row r="153">
          <cell r="E153">
            <v>4280</v>
          </cell>
          <cell r="F153" t="str">
            <v>Fir Vale School</v>
          </cell>
          <cell r="G153">
            <v>986</v>
          </cell>
          <cell r="I153">
            <v>195</v>
          </cell>
          <cell r="J153">
            <v>208</v>
          </cell>
          <cell r="K153">
            <v>186</v>
          </cell>
          <cell r="L153">
            <v>195</v>
          </cell>
          <cell r="M153">
            <v>202</v>
          </cell>
          <cell r="N153">
            <v>0</v>
          </cell>
          <cell r="O153">
            <v>0.59868421052631604</v>
          </cell>
          <cell r="Q153">
            <v>0.59868421052631604</v>
          </cell>
          <cell r="R153">
            <v>0.59868421052631604</v>
          </cell>
          <cell r="S153">
            <v>0.53374233128834403</v>
          </cell>
          <cell r="T153">
            <v>0.47398843930635798</v>
          </cell>
          <cell r="U153">
            <v>75.331183738815824</v>
          </cell>
          <cell r="V153">
            <v>80.353262654736881</v>
          </cell>
          <cell r="W153">
            <v>71.854359873947388</v>
          </cell>
          <cell r="X153">
            <v>66.179656300306803</v>
          </cell>
          <cell r="Y153">
            <v>55.575958868208048</v>
          </cell>
          <cell r="Z153">
            <v>349.29442143601494</v>
          </cell>
          <cell r="AA153">
            <v>597293.46065558551</v>
          </cell>
        </row>
        <row r="154">
          <cell r="E154">
            <v>4003</v>
          </cell>
          <cell r="F154" t="str">
            <v>Firth Park Academy</v>
          </cell>
          <cell r="G154">
            <v>1142</v>
          </cell>
          <cell r="I154">
            <v>245</v>
          </cell>
          <cell r="J154">
            <v>231</v>
          </cell>
          <cell r="K154">
            <v>226</v>
          </cell>
          <cell r="L154">
            <v>203</v>
          </cell>
          <cell r="M154">
            <v>237</v>
          </cell>
          <cell r="N154">
            <v>0</v>
          </cell>
          <cell r="O154">
            <v>0.43627450980392202</v>
          </cell>
          <cell r="Q154">
            <v>0.43627450980392202</v>
          </cell>
          <cell r="R154">
            <v>0.43627450980392202</v>
          </cell>
          <cell r="S154">
            <v>0.44086021505376299</v>
          </cell>
          <cell r="T154">
            <v>0.485436893203884</v>
          </cell>
          <cell r="U154">
            <v>68.971282199509872</v>
          </cell>
          <cell r="V154">
            <v>65.030066073823591</v>
          </cell>
          <cell r="W154">
            <v>63.622488886078493</v>
          </cell>
          <cell r="X154">
            <v>56.905624508494562</v>
          </cell>
          <cell r="Y154">
            <v>66.780393131068038</v>
          </cell>
          <cell r="Z154">
            <v>321.30985479897453</v>
          </cell>
          <cell r="AA154">
            <v>549439.8517062465</v>
          </cell>
        </row>
        <row r="155">
          <cell r="E155">
            <v>4007</v>
          </cell>
          <cell r="F155" t="str">
            <v>Forge Valley School</v>
          </cell>
          <cell r="G155">
            <v>1210</v>
          </cell>
          <cell r="I155">
            <v>259</v>
          </cell>
          <cell r="J155">
            <v>249</v>
          </cell>
          <cell r="K155">
            <v>231</v>
          </cell>
          <cell r="L155">
            <v>234</v>
          </cell>
          <cell r="M155">
            <v>237</v>
          </cell>
          <cell r="N155">
            <v>0</v>
          </cell>
          <cell r="O155">
            <v>0.28070175438596501</v>
          </cell>
          <cell r="Q155">
            <v>0.28070175438596501</v>
          </cell>
          <cell r="R155">
            <v>0.28070175438596501</v>
          </cell>
          <cell r="S155">
            <v>0.28571428571428598</v>
          </cell>
          <cell r="T155">
            <v>0.368181818181818</v>
          </cell>
          <cell r="U155">
            <v>46.912358472982469</v>
          </cell>
          <cell r="V155">
            <v>45.101070501052646</v>
          </cell>
          <cell r="W155">
            <v>41.840752151578961</v>
          </cell>
          <cell r="X155">
            <v>42.511463948571468</v>
          </cell>
          <cell r="Y155">
            <v>50.649892717499981</v>
          </cell>
          <cell r="Z155">
            <v>227.01553779168552</v>
          </cell>
          <cell r="AA155">
            <v>388196.56962378224</v>
          </cell>
        </row>
        <row r="156">
          <cell r="E156">
            <v>4278</v>
          </cell>
          <cell r="F156" t="str">
            <v>Handsworth Grange Community Sports College</v>
          </cell>
          <cell r="G156">
            <v>1015</v>
          </cell>
          <cell r="I156">
            <v>203</v>
          </cell>
          <cell r="J156">
            <v>204</v>
          </cell>
          <cell r="K156">
            <v>205</v>
          </cell>
          <cell r="L156">
            <v>197</v>
          </cell>
          <cell r="M156">
            <v>206</v>
          </cell>
          <cell r="N156">
            <v>0</v>
          </cell>
          <cell r="O156">
            <v>0.37745098039215702</v>
          </cell>
          <cell r="Q156">
            <v>0.37745098039215702</v>
          </cell>
          <cell r="R156">
            <v>0.37745098039215702</v>
          </cell>
          <cell r="S156">
            <v>0.38502673796791398</v>
          </cell>
          <cell r="T156">
            <v>0.45595854922279799</v>
          </cell>
          <cell r="U156">
            <v>49.442334880098059</v>
          </cell>
          <cell r="V156">
            <v>49.685893180000015</v>
          </cell>
          <cell r="W156">
            <v>49.929451479901978</v>
          </cell>
          <cell r="X156">
            <v>48.22978921026732</v>
          </cell>
          <cell r="Y156">
            <v>54.520575224870477</v>
          </cell>
          <cell r="Z156">
            <v>251.80804397513785</v>
          </cell>
          <cell r="AA156">
            <v>430591.75519748573</v>
          </cell>
        </row>
        <row r="157">
          <cell r="E157">
            <v>4257</v>
          </cell>
          <cell r="F157" t="str">
            <v>High Storrs School</v>
          </cell>
          <cell r="G157">
            <v>1206</v>
          </cell>
          <cell r="I157">
            <v>246</v>
          </cell>
          <cell r="J157">
            <v>241</v>
          </cell>
          <cell r="K157">
            <v>240</v>
          </cell>
          <cell r="L157">
            <v>239</v>
          </cell>
          <cell r="M157">
            <v>240</v>
          </cell>
          <cell r="N157">
            <v>0</v>
          </cell>
          <cell r="O157">
            <v>0.19409282700421901</v>
          </cell>
          <cell r="Q157">
            <v>0.19409282700421901</v>
          </cell>
          <cell r="R157">
            <v>0.19409282700421901</v>
          </cell>
          <cell r="S157">
            <v>0.226495726495726</v>
          </cell>
          <cell r="T157">
            <v>0.208510638297872</v>
          </cell>
          <cell r="U157">
            <v>30.80966448708854</v>
          </cell>
          <cell r="V157">
            <v>30.183451794261543</v>
          </cell>
          <cell r="W157">
            <v>30.058209255696141</v>
          </cell>
          <cell r="X157">
            <v>34.420419651324714</v>
          </cell>
          <cell r="Y157">
            <v>29.047402672340382</v>
          </cell>
          <cell r="Z157">
            <v>154.51914786071131</v>
          </cell>
          <cell r="AA157">
            <v>264227.74284181633</v>
          </cell>
        </row>
        <row r="158">
          <cell r="E158">
            <v>4230</v>
          </cell>
          <cell r="F158" t="str">
            <v>King Ecgbert School</v>
          </cell>
          <cell r="G158">
            <v>1034</v>
          </cell>
          <cell r="I158">
            <v>209</v>
          </cell>
          <cell r="J158">
            <v>209</v>
          </cell>
          <cell r="K158">
            <v>210</v>
          </cell>
          <cell r="L158">
            <v>196</v>
          </cell>
          <cell r="M158">
            <v>210</v>
          </cell>
          <cell r="N158">
            <v>0</v>
          </cell>
          <cell r="O158">
            <v>0.31884057971014501</v>
          </cell>
          <cell r="Q158">
            <v>0.31884057971014501</v>
          </cell>
          <cell r="R158">
            <v>0.31884057971014501</v>
          </cell>
          <cell r="S158">
            <v>0.27604166666666702</v>
          </cell>
          <cell r="T158">
            <v>0.27450980392156898</v>
          </cell>
          <cell r="U158">
            <v>42.999385816231893</v>
          </cell>
          <cell r="V158">
            <v>42.999385816231893</v>
          </cell>
          <cell r="W158">
            <v>43.205124504347836</v>
          </cell>
          <cell r="X158">
            <v>34.402417339791711</v>
          </cell>
          <cell r="Y158">
            <v>33.461468764705927</v>
          </cell>
          <cell r="Z158">
            <v>197.06778224130929</v>
          </cell>
          <cell r="AA158">
            <v>336985.90763263887</v>
          </cell>
        </row>
        <row r="159">
          <cell r="E159">
            <v>4259</v>
          </cell>
          <cell r="F159" t="str">
            <v>King Edward VII School</v>
          </cell>
          <cell r="G159">
            <v>1135</v>
          </cell>
          <cell r="I159">
            <v>235</v>
          </cell>
          <cell r="J159">
            <v>229</v>
          </cell>
          <cell r="K159">
            <v>222</v>
          </cell>
          <cell r="L159">
            <v>221</v>
          </cell>
          <cell r="M159">
            <v>228</v>
          </cell>
          <cell r="N159">
            <v>0</v>
          </cell>
          <cell r="O159">
            <v>0.29411764705882398</v>
          </cell>
          <cell r="Q159">
            <v>0.29411764705882398</v>
          </cell>
          <cell r="R159">
            <v>0.29411764705882398</v>
          </cell>
          <cell r="S159">
            <v>0.29126213592233002</v>
          </cell>
          <cell r="T159">
            <v>0.37198067632850201</v>
          </cell>
          <cell r="U159">
            <v>44.599636735294183</v>
          </cell>
          <cell r="V159">
            <v>43.460922605882416</v>
          </cell>
          <cell r="W159">
            <v>42.13242278823536</v>
          </cell>
          <cell r="X159">
            <v>40.929322086407758</v>
          </cell>
          <cell r="Y159">
            <v>49.229233342028941</v>
          </cell>
          <cell r="Z159">
            <v>220.35153755784867</v>
          </cell>
          <cell r="AA159">
            <v>376801.12922392122</v>
          </cell>
        </row>
        <row r="160">
          <cell r="E160">
            <v>4279</v>
          </cell>
          <cell r="F160" t="str">
            <v>Meadowhead School Academy Trust</v>
          </cell>
          <cell r="G160">
            <v>1623</v>
          </cell>
          <cell r="I160">
            <v>329</v>
          </cell>
          <cell r="J160">
            <v>320</v>
          </cell>
          <cell r="K160">
            <v>322</v>
          </cell>
          <cell r="L160">
            <v>322</v>
          </cell>
          <cell r="M160">
            <v>330</v>
          </cell>
          <cell r="N160">
            <v>0</v>
          </cell>
          <cell r="O160">
            <v>0.32484076433121001</v>
          </cell>
          <cell r="Q160">
            <v>0.32484076433121001</v>
          </cell>
          <cell r="R160">
            <v>0.32484076433121001</v>
          </cell>
          <cell r="S160">
            <v>0.41042345276872999</v>
          </cell>
          <cell r="T160">
            <v>0.35736677115987497</v>
          </cell>
          <cell r="U160">
            <v>68.961833209299314</v>
          </cell>
          <cell r="V160">
            <v>67.0753392917197</v>
          </cell>
          <cell r="W160">
            <v>67.494560162292956</v>
          </cell>
          <cell r="X160">
            <v>84.032307464364891</v>
          </cell>
          <cell r="Y160">
            <v>68.453546586206983</v>
          </cell>
          <cell r="Z160">
            <v>356.01758671388387</v>
          </cell>
          <cell r="AA160">
            <v>608790.07328074146</v>
          </cell>
        </row>
        <row r="161">
          <cell r="E161">
            <v>4015</v>
          </cell>
          <cell r="F161" t="str">
            <v>Mercia School</v>
          </cell>
          <cell r="G161">
            <v>716</v>
          </cell>
          <cell r="I161">
            <v>180.83333333333331</v>
          </cell>
          <cell r="J161">
            <v>181.58333333333334</v>
          </cell>
          <cell r="K161">
            <v>158.91666666666666</v>
          </cell>
          <cell r="L161">
            <v>124.66666666666667</v>
          </cell>
          <cell r="M161">
            <v>70</v>
          </cell>
          <cell r="N161">
            <v>0</v>
          </cell>
          <cell r="O161">
            <v>0.33333333333333298</v>
          </cell>
          <cell r="Q161">
            <v>0.33333333333333298</v>
          </cell>
          <cell r="R161">
            <v>0.33333333333333298</v>
          </cell>
          <cell r="S161">
            <v>0.29203539823008901</v>
          </cell>
          <cell r="T161">
            <v>0.29203539823008901</v>
          </cell>
          <cell r="U161">
            <v>38.89552243888884</v>
          </cell>
          <cell r="V161">
            <v>39.056840273888845</v>
          </cell>
          <cell r="W161">
            <v>34.181456816111073</v>
          </cell>
          <cell r="X161">
            <v>23.149632001946944</v>
          </cell>
          <cell r="Y161">
            <v>11.865919075221262</v>
          </cell>
          <cell r="Z161">
            <v>147.14937060605698</v>
          </cell>
          <cell r="AA161">
            <v>251625.42373635742</v>
          </cell>
        </row>
        <row r="162">
          <cell r="E162">
            <v>4008</v>
          </cell>
          <cell r="F162" t="str">
            <v>Newfield Secondary School</v>
          </cell>
          <cell r="G162">
            <v>1032</v>
          </cell>
          <cell r="I162">
            <v>214</v>
          </cell>
          <cell r="J162">
            <v>213</v>
          </cell>
          <cell r="K162">
            <v>195</v>
          </cell>
          <cell r="L162">
            <v>196</v>
          </cell>
          <cell r="M162">
            <v>214</v>
          </cell>
          <cell r="N162">
            <v>0</v>
          </cell>
          <cell r="O162">
            <v>0.42857142857142899</v>
          </cell>
          <cell r="Q162">
            <v>0.42857142857142899</v>
          </cell>
          <cell r="R162">
            <v>0.42857142857142899</v>
          </cell>
          <cell r="S162">
            <v>0.362694300518135</v>
          </cell>
          <cell r="T162">
            <v>0.44444444444444398</v>
          </cell>
          <cell r="U162">
            <v>59.180600040000058</v>
          </cell>
          <cell r="V162">
            <v>58.904055180000057</v>
          </cell>
          <cell r="W162">
            <v>53.926247700000054</v>
          </cell>
          <cell r="X162">
            <v>45.201729303626976</v>
          </cell>
          <cell r="Y162">
            <v>55.207629644444395</v>
          </cell>
          <cell r="Z162">
            <v>272.42026186807158</v>
          </cell>
          <cell r="AA162">
            <v>465838.64779440238</v>
          </cell>
        </row>
        <row r="163">
          <cell r="E163">
            <v>5400</v>
          </cell>
          <cell r="F163" t="str">
            <v>Notre Dame High School</v>
          </cell>
          <cell r="G163">
            <v>1066</v>
          </cell>
          <cell r="I163">
            <v>217</v>
          </cell>
          <cell r="J163">
            <v>215</v>
          </cell>
          <cell r="K163">
            <v>212</v>
          </cell>
          <cell r="L163">
            <v>208</v>
          </cell>
          <cell r="M163">
            <v>214</v>
          </cell>
          <cell r="N163">
            <v>0</v>
          </cell>
          <cell r="O163">
            <v>0.24644549763033199</v>
          </cell>
          <cell r="Q163">
            <v>0.24644549763033199</v>
          </cell>
          <cell r="R163">
            <v>0.24644549763033199</v>
          </cell>
          <cell r="S163">
            <v>0.241545893719807</v>
          </cell>
          <cell r="T163">
            <v>0.247572815533981</v>
          </cell>
          <cell r="U163">
            <v>34.508254978957375</v>
          </cell>
          <cell r="V163">
            <v>34.190206545971598</v>
          </cell>
          <cell r="W163">
            <v>33.71313389649292</v>
          </cell>
          <cell r="X163">
            <v>31.946349719806797</v>
          </cell>
          <cell r="Y163">
            <v>30.752793697572869</v>
          </cell>
          <cell r="Z163">
            <v>165.11073883880158</v>
          </cell>
          <cell r="AA163">
            <v>282339.36341435072</v>
          </cell>
        </row>
        <row r="164">
          <cell r="E164">
            <v>4006</v>
          </cell>
          <cell r="F164" t="str">
            <v>Outwood Academy City</v>
          </cell>
          <cell r="G164">
            <v>1128</v>
          </cell>
          <cell r="I164">
            <v>225</v>
          </cell>
          <cell r="J164">
            <v>240</v>
          </cell>
          <cell r="K164">
            <v>216</v>
          </cell>
          <cell r="L164">
            <v>223</v>
          </cell>
          <cell r="M164">
            <v>224</v>
          </cell>
          <cell r="N164">
            <v>0</v>
          </cell>
          <cell r="O164">
            <v>0.376811594202899</v>
          </cell>
          <cell r="Q164">
            <v>0.376811594202899</v>
          </cell>
          <cell r="R164">
            <v>0.376811594202899</v>
          </cell>
          <cell r="S164">
            <v>0.324200913242009</v>
          </cell>
          <cell r="T164">
            <v>0.39366515837104099</v>
          </cell>
          <cell r="U164">
            <v>54.707787521739192</v>
          </cell>
          <cell r="V164">
            <v>58.354973356521803</v>
          </cell>
          <cell r="W164">
            <v>52.519476020869625</v>
          </cell>
          <cell r="X164">
            <v>45.970300715022816</v>
          </cell>
          <cell r="Y164">
            <v>51.185015956561124</v>
          </cell>
          <cell r="Z164">
            <v>262.73755357071457</v>
          </cell>
          <cell r="AA164">
            <v>449281.21660592192</v>
          </cell>
        </row>
        <row r="165">
          <cell r="E165">
            <v>6907</v>
          </cell>
          <cell r="F165" t="str">
            <v>Parkwood E-Act Academy</v>
          </cell>
          <cell r="G165">
            <v>806</v>
          </cell>
          <cell r="I165">
            <v>175</v>
          </cell>
          <cell r="J165">
            <v>157</v>
          </cell>
          <cell r="K165">
            <v>127</v>
          </cell>
          <cell r="L165">
            <v>146</v>
          </cell>
          <cell r="M165">
            <v>201</v>
          </cell>
          <cell r="N165">
            <v>0</v>
          </cell>
          <cell r="O165">
            <v>0.52631578947368396</v>
          </cell>
          <cell r="Q165">
            <v>0.52631578947368396</v>
          </cell>
          <cell r="R165">
            <v>0.52631578947368396</v>
          </cell>
          <cell r="S165">
            <v>0.51968503937007904</v>
          </cell>
          <cell r="T165">
            <v>0.52873563218390796</v>
          </cell>
          <cell r="U165">
            <v>59.43288657894734</v>
          </cell>
          <cell r="V165">
            <v>53.319789673684184</v>
          </cell>
          <cell r="W165">
            <v>43.131294831578927</v>
          </cell>
          <cell r="X165">
            <v>48.244889734488218</v>
          </cell>
          <cell r="Y165">
            <v>61.688254555172406</v>
          </cell>
          <cell r="Z165">
            <v>265.81711537387105</v>
          </cell>
          <cell r="AA165">
            <v>454547.26728931948</v>
          </cell>
        </row>
        <row r="166">
          <cell r="E166">
            <v>6905</v>
          </cell>
          <cell r="F166" t="str">
            <v>Sheffield Park Academy</v>
          </cell>
          <cell r="G166">
            <v>1010</v>
          </cell>
          <cell r="I166">
            <v>199</v>
          </cell>
          <cell r="J166">
            <v>207</v>
          </cell>
          <cell r="K166">
            <v>204</v>
          </cell>
          <cell r="L166">
            <v>193</v>
          </cell>
          <cell r="M166">
            <v>207</v>
          </cell>
          <cell r="N166">
            <v>0</v>
          </cell>
          <cell r="O166">
            <v>0.445544554455446</v>
          </cell>
          <cell r="Q166">
            <v>0.445544554455446</v>
          </cell>
          <cell r="R166">
            <v>0.445544554455446</v>
          </cell>
          <cell r="S166">
            <v>0.48648648648648701</v>
          </cell>
          <cell r="T166">
            <v>0.505</v>
          </cell>
          <cell r="U166">
            <v>57.21192920495055</v>
          </cell>
          <cell r="V166">
            <v>59.511906258415898</v>
          </cell>
          <cell r="W166">
            <v>58.649414863366395</v>
          </cell>
          <cell r="X166">
            <v>59.701650514054116</v>
          </cell>
          <cell r="Y166">
            <v>60.677764116750005</v>
          </cell>
          <cell r="Z166">
            <v>295.75266495753692</v>
          </cell>
          <cell r="AA166">
            <v>505737.05707738816</v>
          </cell>
        </row>
        <row r="167">
          <cell r="E167">
            <v>6906</v>
          </cell>
          <cell r="F167" t="str">
            <v>Sheffield Springs Academy</v>
          </cell>
          <cell r="G167">
            <v>939</v>
          </cell>
          <cell r="I167">
            <v>200</v>
          </cell>
          <cell r="J167">
            <v>206</v>
          </cell>
          <cell r="K167">
            <v>201</v>
          </cell>
          <cell r="L167">
            <v>170</v>
          </cell>
          <cell r="M167">
            <v>162</v>
          </cell>
          <cell r="N167">
            <v>0</v>
          </cell>
          <cell r="O167">
            <v>0.56216216216216197</v>
          </cell>
          <cell r="Q167">
            <v>0.56216216216216197</v>
          </cell>
          <cell r="R167">
            <v>0.56216216216216197</v>
          </cell>
          <cell r="S167">
            <v>0.58219178082191803</v>
          </cell>
          <cell r="T167">
            <v>0.57971014492753603</v>
          </cell>
          <cell r="U167">
            <v>72.549426335135109</v>
          </cell>
          <cell r="V167">
            <v>74.725909125189162</v>
          </cell>
          <cell r="W167">
            <v>72.912173466810785</v>
          </cell>
          <cell r="X167">
            <v>62.932247078767148</v>
          </cell>
          <cell r="Y167">
            <v>54.512206434782591</v>
          </cell>
          <cell r="Z167">
            <v>337.63196244068479</v>
          </cell>
          <cell r="AA167">
            <v>577350.65577357099</v>
          </cell>
        </row>
        <row r="168">
          <cell r="E168">
            <v>4229</v>
          </cell>
          <cell r="F168" t="str">
            <v>Silverdale School</v>
          </cell>
          <cell r="G168">
            <v>1015</v>
          </cell>
          <cell r="I168">
            <v>181</v>
          </cell>
          <cell r="J168">
            <v>180</v>
          </cell>
          <cell r="K168">
            <v>238</v>
          </cell>
          <cell r="L168">
            <v>237</v>
          </cell>
          <cell r="M168">
            <v>179</v>
          </cell>
          <cell r="N168">
            <v>0</v>
          </cell>
          <cell r="O168">
            <v>0.183035714285714</v>
          </cell>
          <cell r="Q168">
            <v>0.183035714285714</v>
          </cell>
          <cell r="R168">
            <v>0.183035714285714</v>
          </cell>
          <cell r="S168">
            <v>0.28820960698690001</v>
          </cell>
          <cell r="T168">
            <v>0.19886363636363599</v>
          </cell>
          <cell r="U168">
            <v>21.377493813124968</v>
          </cell>
          <cell r="V168">
            <v>21.259386112499964</v>
          </cell>
          <cell r="W168">
            <v>28.109632748749952</v>
          </cell>
          <cell r="X168">
            <v>43.432521867510985</v>
          </cell>
          <cell r="Y168">
            <v>20.662185359374963</v>
          </cell>
          <cell r="Z168">
            <v>134.84121990126084</v>
          </cell>
          <cell r="AA168">
            <v>230578.48603115603</v>
          </cell>
        </row>
        <row r="169">
          <cell r="E169">
            <v>4271</v>
          </cell>
          <cell r="F169" t="str">
            <v>Stocksbridge High School</v>
          </cell>
          <cell r="G169">
            <v>798</v>
          </cell>
          <cell r="I169">
            <v>159</v>
          </cell>
          <cell r="J169">
            <v>155</v>
          </cell>
          <cell r="K169">
            <v>178</v>
          </cell>
          <cell r="L169">
            <v>158</v>
          </cell>
          <cell r="M169">
            <v>148</v>
          </cell>
          <cell r="N169">
            <v>0</v>
          </cell>
          <cell r="O169">
            <v>0.23033707865168501</v>
          </cell>
          <cell r="Q169">
            <v>0.23033707865168501</v>
          </cell>
          <cell r="R169">
            <v>0.23033707865168501</v>
          </cell>
          <cell r="S169">
            <v>0.278481012658228</v>
          </cell>
          <cell r="T169">
            <v>0.25517241379310301</v>
          </cell>
          <cell r="U169">
            <v>23.632156547528048</v>
          </cell>
          <cell r="V169">
            <v>23.037636885955017</v>
          </cell>
          <cell r="W169">
            <v>26.456124939999953</v>
          </cell>
          <cell r="X169">
            <v>27.977630120000015</v>
          </cell>
          <cell r="Y169">
            <v>21.92114743310341</v>
          </cell>
          <cell r="Z169">
            <v>123.02469592658646</v>
          </cell>
          <cell r="AA169">
            <v>210372.23003446285</v>
          </cell>
        </row>
        <row r="170">
          <cell r="E170">
            <v>4234</v>
          </cell>
          <cell r="F170" t="str">
            <v>Tapton School</v>
          </cell>
          <cell r="G170">
            <v>1354</v>
          </cell>
          <cell r="I170">
            <v>266</v>
          </cell>
          <cell r="J170">
            <v>272</v>
          </cell>
          <cell r="K170">
            <v>288</v>
          </cell>
          <cell r="L170">
            <v>264</v>
          </cell>
          <cell r="M170">
            <v>264</v>
          </cell>
          <cell r="N170">
            <v>0</v>
          </cell>
          <cell r="O170">
            <v>0.201438848920863</v>
          </cell>
          <cell r="Q170">
            <v>0.201438848920863</v>
          </cell>
          <cell r="R170">
            <v>0.201438848920863</v>
          </cell>
          <cell r="S170">
            <v>0.230769230769231</v>
          </cell>
          <cell r="T170">
            <v>0.26984126984126999</v>
          </cell>
          <cell r="U170">
            <v>34.575402448345265</v>
          </cell>
          <cell r="V170">
            <v>35.355298744172607</v>
          </cell>
          <cell r="W170">
            <v>37.435022199712172</v>
          </cell>
          <cell r="X170">
            <v>38.738257089230807</v>
          </cell>
          <cell r="Y170">
            <v>41.350440895238123</v>
          </cell>
          <cell r="Z170">
            <v>187.45442137669897</v>
          </cell>
          <cell r="AA170">
            <v>320547.06055415526</v>
          </cell>
        </row>
        <row r="171">
          <cell r="E171">
            <v>4276</v>
          </cell>
          <cell r="F171" t="str">
            <v>The Birley Academy</v>
          </cell>
          <cell r="G171">
            <v>1074</v>
          </cell>
          <cell r="I171">
            <v>230</v>
          </cell>
          <cell r="J171">
            <v>224</v>
          </cell>
          <cell r="K171">
            <v>198</v>
          </cell>
          <cell r="L171">
            <v>213</v>
          </cell>
          <cell r="M171">
            <v>209</v>
          </cell>
          <cell r="N171">
            <v>0</v>
          </cell>
          <cell r="O171">
            <v>0.43915343915343902</v>
          </cell>
          <cell r="Q171">
            <v>0.43915343915343902</v>
          </cell>
          <cell r="R171">
            <v>0.43915343915343902</v>
          </cell>
          <cell r="S171">
            <v>0.49047619047619001</v>
          </cell>
          <cell r="T171">
            <v>0.42995169082125601</v>
          </cell>
          <cell r="U171">
            <v>65.175819474074046</v>
          </cell>
          <cell r="V171">
            <v>63.475580705185159</v>
          </cell>
          <cell r="W171">
            <v>56.107879373333311</v>
          </cell>
          <cell r="X171">
            <v>66.428704242714218</v>
          </cell>
          <cell r="Y171">
            <v>52.159544850483094</v>
          </cell>
          <cell r="Z171">
            <v>303.34752864578985</v>
          </cell>
          <cell r="AA171">
            <v>518724.27398430067</v>
          </cell>
        </row>
        <row r="172">
          <cell r="E172">
            <v>4004</v>
          </cell>
          <cell r="F172" t="str">
            <v>UTC Sheffield City Centre</v>
          </cell>
          <cell r="G172">
            <v>313</v>
          </cell>
          <cell r="I172">
            <v>0</v>
          </cell>
          <cell r="J172">
            <v>0</v>
          </cell>
          <cell r="K172">
            <v>111</v>
          </cell>
          <cell r="L172">
            <v>108</v>
          </cell>
          <cell r="M172">
            <v>94</v>
          </cell>
          <cell r="N172">
            <v>0</v>
          </cell>
          <cell r="O172">
            <v>0</v>
          </cell>
          <cell r="Q172">
            <v>0</v>
          </cell>
          <cell r="R172">
            <v>0.25454545454545502</v>
          </cell>
          <cell r="S172">
            <v>0.314285714285714</v>
          </cell>
          <cell r="T172">
            <v>0.40217391304347799</v>
          </cell>
          <cell r="U172">
            <v>0</v>
          </cell>
          <cell r="V172">
            <v>0</v>
          </cell>
          <cell r="W172">
            <v>18.231848406545488</v>
          </cell>
          <cell r="X172">
            <v>21.582743235428552</v>
          </cell>
          <cell r="Y172">
            <v>21.943686803260857</v>
          </cell>
          <cell r="Z172">
            <v>61.758278445234893</v>
          </cell>
          <cell r="AA172">
            <v>105606.65614135166</v>
          </cell>
        </row>
        <row r="173">
          <cell r="E173">
            <v>4010</v>
          </cell>
          <cell r="F173" t="str">
            <v>UTC Sheffield Olympic Legacy Park</v>
          </cell>
          <cell r="G173">
            <v>302</v>
          </cell>
          <cell r="I173">
            <v>0</v>
          </cell>
          <cell r="J173">
            <v>0</v>
          </cell>
          <cell r="K173">
            <v>99</v>
          </cell>
          <cell r="L173">
            <v>99</v>
          </cell>
          <cell r="M173">
            <v>104</v>
          </cell>
          <cell r="N173">
            <v>0</v>
          </cell>
          <cell r="O173">
            <v>0</v>
          </cell>
          <cell r="Q173">
            <v>0</v>
          </cell>
          <cell r="R173">
            <v>0.29032258064516098</v>
          </cell>
          <cell r="S173">
            <v>0.36363636363636398</v>
          </cell>
          <cell r="T173">
            <v>0.38</v>
          </cell>
          <cell r="U173">
            <v>0</v>
          </cell>
          <cell r="V173">
            <v>0</v>
          </cell>
          <cell r="W173">
            <v>18.546347223870946</v>
          </cell>
          <cell r="X173">
            <v>22.890788280000024</v>
          </cell>
          <cell r="Y173">
            <v>22.939544056000003</v>
          </cell>
          <cell r="Z173">
            <v>64.376679559870979</v>
          </cell>
          <cell r="AA173">
            <v>110084.12204737938</v>
          </cell>
        </row>
        <row r="174">
          <cell r="E174">
            <v>4013</v>
          </cell>
          <cell r="F174" t="str">
            <v>Westfield School</v>
          </cell>
          <cell r="G174">
            <v>1191</v>
          </cell>
          <cell r="I174">
            <v>267</v>
          </cell>
          <cell r="J174">
            <v>236</v>
          </cell>
          <cell r="K174">
            <v>255</v>
          </cell>
          <cell r="L174">
            <v>228</v>
          </cell>
          <cell r="M174">
            <v>205</v>
          </cell>
          <cell r="N174">
            <v>0</v>
          </cell>
          <cell r="O174">
            <v>0.35177865612648201</v>
          </cell>
          <cell r="Q174">
            <v>0.35177865612648201</v>
          </cell>
          <cell r="R174">
            <v>0.35177865612648201</v>
          </cell>
          <cell r="S174">
            <v>0.45814977973568299</v>
          </cell>
          <cell r="T174">
            <v>0.399014778325123</v>
          </cell>
          <cell r="U174">
            <v>60.607046847509842</v>
          </cell>
          <cell r="V174">
            <v>53.570273618023684</v>
          </cell>
          <cell r="W174">
            <v>57.883134629644232</v>
          </cell>
          <cell r="X174">
            <v>66.420260853568308</v>
          </cell>
          <cell r="Y174">
            <v>47.479997538177329</v>
          </cell>
          <cell r="Z174">
            <v>285.9607134869234</v>
          </cell>
          <cell r="AA174">
            <v>488992.82006263902</v>
          </cell>
        </row>
        <row r="175">
          <cell r="E175">
            <v>4016</v>
          </cell>
          <cell r="F175" t="str">
            <v>Yewlands Academy</v>
          </cell>
          <cell r="G175">
            <v>876</v>
          </cell>
          <cell r="I175">
            <v>208</v>
          </cell>
          <cell r="J175">
            <v>179</v>
          </cell>
          <cell r="K175">
            <v>176</v>
          </cell>
          <cell r="L175">
            <v>161</v>
          </cell>
          <cell r="M175">
            <v>152</v>
          </cell>
          <cell r="N175">
            <v>0</v>
          </cell>
          <cell r="O175">
            <v>0.36781609195402298</v>
          </cell>
          <cell r="Q175">
            <v>0.36781609195402298</v>
          </cell>
          <cell r="R175">
            <v>0.36781609195402298</v>
          </cell>
          <cell r="S175">
            <v>0.42857142857142899</v>
          </cell>
          <cell r="T175">
            <v>0.52631578947368396</v>
          </cell>
          <cell r="U175">
            <v>49.366965965977002</v>
          </cell>
          <cell r="V175">
            <v>42.48407167264368</v>
          </cell>
          <cell r="W175">
            <v>41.772048125057474</v>
          </cell>
          <cell r="X175">
            <v>43.874010870000042</v>
          </cell>
          <cell r="Y175">
            <v>46.436323999999978</v>
          </cell>
          <cell r="Z175">
            <v>223.93342063367817</v>
          </cell>
          <cell r="AA175">
            <v>382926.14928358968</v>
          </cell>
        </row>
        <row r="177">
          <cell r="F177" t="str">
            <v>Total Secondary</v>
          </cell>
          <cell r="G177">
            <v>27571</v>
          </cell>
          <cell r="H177">
            <v>0</v>
          </cell>
          <cell r="I177">
            <v>5571.8333333333339</v>
          </cell>
          <cell r="J177">
            <v>5529.5833333333339</v>
          </cell>
          <cell r="K177">
            <v>5604.9166666666661</v>
          </cell>
          <cell r="L177">
            <v>5439.6666666666661</v>
          </cell>
          <cell r="M177">
            <v>5425</v>
          </cell>
          <cell r="N177">
            <v>0</v>
          </cell>
          <cell r="O177">
            <v>0.2020903606446387</v>
          </cell>
          <cell r="Q177">
            <v>0.20055795340514795</v>
          </cell>
          <cell r="R177">
            <v>0.20329029294065018</v>
          </cell>
          <cell r="S177">
            <v>0.19729667645956497</v>
          </cell>
          <cell r="U177">
            <v>1276.0018724505931</v>
          </cell>
          <cell r="V177">
            <v>1268.0340963053329</v>
          </cell>
          <cell r="W177">
            <v>1253.2509678672313</v>
          </cell>
          <cell r="X177">
            <v>1275.7570823733756</v>
          </cell>
          <cell r="Y177">
            <v>1196.6815053723653</v>
          </cell>
          <cell r="Z177">
            <v>6269.7255243688987</v>
          </cell>
          <cell r="AA177">
            <v>10721230.646670818</v>
          </cell>
        </row>
        <row r="178">
          <cell r="G178">
            <v>0</v>
          </cell>
          <cell r="Z178">
            <v>0.22740290611036593</v>
          </cell>
          <cell r="AA178">
            <v>0</v>
          </cell>
        </row>
        <row r="179">
          <cell r="F179" t="str">
            <v>Middle Deemed Secondary</v>
          </cell>
        </row>
        <row r="181">
          <cell r="E181">
            <v>4014</v>
          </cell>
          <cell r="F181" t="str">
            <v>Astrea Academy Sheffield</v>
          </cell>
          <cell r="G181">
            <v>891.5</v>
          </cell>
          <cell r="H181">
            <v>52.083333333333329</v>
          </cell>
          <cell r="I181">
            <v>295.16666666666669</v>
          </cell>
          <cell r="J181">
            <v>153</v>
          </cell>
          <cell r="K181">
            <v>153.41666666666669</v>
          </cell>
          <cell r="L181">
            <v>151.5</v>
          </cell>
          <cell r="M181">
            <v>86.333333333333329</v>
          </cell>
          <cell r="N181">
            <v>-8.5265128291212022E-14</v>
          </cell>
          <cell r="O181">
            <v>0.10447346918526032</v>
          </cell>
          <cell r="P181">
            <v>0.37037037037037035</v>
          </cell>
          <cell r="Q181">
            <v>0.40816326530612201</v>
          </cell>
          <cell r="R181">
            <v>0.40816326530612201</v>
          </cell>
          <cell r="S181">
            <v>0</v>
          </cell>
          <cell r="U181">
            <v>93.138097778659571</v>
          </cell>
          <cell r="V181">
            <v>40.2965367428571</v>
          </cell>
          <cell r="W181">
            <v>40.406276766666629</v>
          </cell>
          <cell r="X181">
            <v>34.404309766071414</v>
          </cell>
          <cell r="Y181">
            <v>17.897333208333325</v>
          </cell>
          <cell r="Z181">
            <v>245.43267771937809</v>
          </cell>
          <cell r="AA181">
            <v>377586.17519643286</v>
          </cell>
        </row>
        <row r="182">
          <cell r="E182">
            <v>4225</v>
          </cell>
          <cell r="F182" t="str">
            <v>Hinde House 3-16 School</v>
          </cell>
          <cell r="G182">
            <v>1282</v>
          </cell>
          <cell r="H182">
            <v>60</v>
          </cell>
          <cell r="I182">
            <v>560</v>
          </cell>
          <cell r="J182">
            <v>192</v>
          </cell>
          <cell r="K182">
            <v>162</v>
          </cell>
          <cell r="L182">
            <v>146</v>
          </cell>
          <cell r="M182">
            <v>162</v>
          </cell>
          <cell r="N182">
            <v>0</v>
          </cell>
          <cell r="O182">
            <v>0.15209049597432869</v>
          </cell>
          <cell r="P182">
            <v>0.34957020057306593</v>
          </cell>
          <cell r="Q182">
            <v>0.53548387096774197</v>
          </cell>
          <cell r="R182">
            <v>0.53548387096774197</v>
          </cell>
          <cell r="S182">
            <v>0</v>
          </cell>
          <cell r="U182">
            <v>194.98001583908939</v>
          </cell>
          <cell r="V182">
            <v>66.342219833806453</v>
          </cell>
          <cell r="W182">
            <v>55.97624798477419</v>
          </cell>
          <cell r="X182">
            <v>38.681193158333365</v>
          </cell>
          <cell r="Y182">
            <v>56.296405296710553</v>
          </cell>
          <cell r="Z182">
            <v>433.25029414709792</v>
          </cell>
          <cell r="AA182">
            <v>654283.447117612</v>
          </cell>
        </row>
        <row r="183">
          <cell r="E183">
            <v>4005</v>
          </cell>
          <cell r="F183" t="str">
            <v>Oasis Academy Don Valley</v>
          </cell>
          <cell r="G183">
            <v>997.75</v>
          </cell>
          <cell r="H183">
            <v>59.166666666666671</v>
          </cell>
          <cell r="I183">
            <v>499.91666666666663</v>
          </cell>
          <cell r="J183">
            <v>128</v>
          </cell>
          <cell r="K183">
            <v>125.5</v>
          </cell>
          <cell r="L183">
            <v>118.66666666666667</v>
          </cell>
          <cell r="M183">
            <v>66.5</v>
          </cell>
          <cell r="N183">
            <v>0</v>
          </cell>
          <cell r="O183">
            <v>0.11532370193225998</v>
          </cell>
          <cell r="P183">
            <v>0.22392638036809817</v>
          </cell>
          <cell r="Q183">
            <v>0.38135593220338998</v>
          </cell>
          <cell r="R183">
            <v>0.38135593220338998</v>
          </cell>
          <cell r="S183">
            <v>0</v>
          </cell>
          <cell r="U183">
            <v>115.06422360291239</v>
          </cell>
          <cell r="V183">
            <v>31.497990833898317</v>
          </cell>
          <cell r="W183">
            <v>30.882795700423738</v>
          </cell>
          <cell r="X183">
            <v>39.558837998446599</v>
          </cell>
          <cell r="Y183">
            <v>20.236995083009706</v>
          </cell>
          <cell r="Z183">
            <v>250.48982072380323</v>
          </cell>
          <cell r="AA183">
            <v>374016.41245610837</v>
          </cell>
        </row>
        <row r="185">
          <cell r="F185" t="str">
            <v>Total Middle Deemed Secondary</v>
          </cell>
          <cell r="G185">
            <v>3171.25</v>
          </cell>
          <cell r="H185">
            <v>171.25</v>
          </cell>
          <cell r="I185">
            <v>1355.0833333333335</v>
          </cell>
          <cell r="J185">
            <v>473</v>
          </cell>
          <cell r="K185">
            <v>440.91666666666669</v>
          </cell>
          <cell r="L185">
            <v>416.16666666666669</v>
          </cell>
          <cell r="M185">
            <v>314.83333333333331</v>
          </cell>
          <cell r="N185">
            <v>-8.5265128291212022E-14</v>
          </cell>
          <cell r="U185">
            <v>403.18233722066134</v>
          </cell>
          <cell r="V185">
            <v>138.13674741056187</v>
          </cell>
          <cell r="W185">
            <v>127.26532045186457</v>
          </cell>
          <cell r="X185">
            <v>112.64434092285137</v>
          </cell>
          <cell r="Y185">
            <v>94.430733588053585</v>
          </cell>
          <cell r="Z185">
            <v>929.17279259027919</v>
          </cell>
          <cell r="AA185">
            <v>1405886.0347701532</v>
          </cell>
        </row>
        <row r="187">
          <cell r="F187" t="str">
            <v>TOTAL ALL SCHOOLS</v>
          </cell>
          <cell r="G187">
            <v>73809.25</v>
          </cell>
          <cell r="H187">
            <v>6136.25</v>
          </cell>
          <cell r="I187">
            <v>44028.916666666672</v>
          </cell>
          <cell r="J187">
            <v>6002.5833333333339</v>
          </cell>
          <cell r="K187">
            <v>6045.833333333333</v>
          </cell>
          <cell r="L187">
            <v>5855.833333333333</v>
          </cell>
          <cell r="M187">
            <v>5739.833333333333</v>
          </cell>
          <cell r="N187">
            <v>-8.5265128291212022E-14</v>
          </cell>
          <cell r="U187">
            <v>12731.240042283223</v>
          </cell>
          <cell r="V187">
            <v>1406.1708437158948</v>
          </cell>
          <cell r="W187">
            <v>1380.516288319096</v>
          </cell>
          <cell r="X187">
            <v>1388.401423296227</v>
          </cell>
          <cell r="Y187">
            <v>14136.0128545689</v>
          </cell>
          <cell r="Z187">
            <v>20043.798932567657</v>
          </cell>
          <cell r="AA187">
            <v>26641854.377078548</v>
          </cell>
        </row>
        <row r="188">
          <cell r="G188">
            <v>0</v>
          </cell>
          <cell r="K188">
            <v>0</v>
          </cell>
          <cell r="Z188">
            <v>0.27156215423632751</v>
          </cell>
          <cell r="AA188">
            <v>0</v>
          </cell>
        </row>
        <row r="189">
          <cell r="Z189">
            <v>6883.3820401329294</v>
          </cell>
        </row>
        <row r="190">
          <cell r="G190" t="str">
            <v>Pupils NOR</v>
          </cell>
          <cell r="H190" t="str">
            <v>Recep</v>
          </cell>
          <cell r="I190" t="str">
            <v>Pri Y1-6, Sec Y7</v>
          </cell>
          <cell r="J190" t="str">
            <v>Y8</v>
          </cell>
          <cell r="K190" t="str">
            <v>Y9</v>
          </cell>
          <cell r="L190" t="str">
            <v>Y10</v>
          </cell>
          <cell r="M190" t="str">
            <v>Y11</v>
          </cell>
          <cell r="O190" t="str">
            <v>Proportion of Y1-6 EYFSP &amp; Y7 Pupils Under New Method</v>
          </cell>
          <cell r="P190" t="str">
            <v>col req. for 3-16 schools primary aged pupils</v>
          </cell>
          <cell r="Q190" t="str">
            <v>Proportion of Y8 Pupils Under New Method</v>
          </cell>
          <cell r="R190" t="str">
            <v>Proportion of Y9 Pupils Under New Method</v>
          </cell>
          <cell r="S190" t="str">
            <v>No. of Low Attain Y1-6 &amp; Proportion of Y10 Pupils Under Old Method</v>
          </cell>
          <cell r="T190" t="str">
            <v>Proportion of Y11 Pupils Under Old Method</v>
          </cell>
          <cell r="U190" t="str">
            <v>No. of Low Attain Pupils Y7</v>
          </cell>
          <cell r="V190" t="str">
            <v>No. of Low Attain Pupils Y8</v>
          </cell>
          <cell r="W190" t="str">
            <v>No. of Low Attain Pupils Y9</v>
          </cell>
          <cell r="X190" t="str">
            <v>No. of Low Attain Pupils Y10</v>
          </cell>
          <cell r="Y190" t="str">
            <v>No. of Low Attain Pupils Y11</v>
          </cell>
          <cell r="Z190" t="str">
            <v>No of Weighted Low Attain Pupils as Proportion of Whole School</v>
          </cell>
        </row>
        <row r="192">
          <cell r="E192">
            <v>4014</v>
          </cell>
          <cell r="F192" t="str">
            <v>Astrea Academy (Woodside) Pri</v>
          </cell>
          <cell r="G192">
            <v>196</v>
          </cell>
          <cell r="H192">
            <v>52.083333333333329</v>
          </cell>
          <cell r="I192">
            <v>143.91666666666669</v>
          </cell>
          <cell r="O192">
            <v>0.37037037037037035</v>
          </cell>
          <cell r="P192">
            <v>0.37037037037037035</v>
          </cell>
          <cell r="S192">
            <v>53.302469135802475</v>
          </cell>
          <cell r="V192">
            <v>0</v>
          </cell>
          <cell r="Z192">
            <v>72.592592592592595</v>
          </cell>
          <cell r="AA192">
            <v>82029.629629629635</v>
          </cell>
        </row>
        <row r="193">
          <cell r="E193">
            <v>4014</v>
          </cell>
          <cell r="F193" t="str">
            <v>Astrea Academy (Woodside) Sec</v>
          </cell>
          <cell r="G193">
            <v>695.5</v>
          </cell>
          <cell r="I193">
            <v>151.25</v>
          </cell>
          <cell r="J193">
            <v>153</v>
          </cell>
          <cell r="K193">
            <v>153.41666666666669</v>
          </cell>
          <cell r="L193">
            <v>151.5</v>
          </cell>
          <cell r="M193">
            <v>86.333333333333329</v>
          </cell>
          <cell r="N193" t="str">
            <v/>
          </cell>
          <cell r="O193">
            <v>0.40816326530612201</v>
          </cell>
          <cell r="Q193">
            <v>0.40816326530612201</v>
          </cell>
          <cell r="R193">
            <v>0.40816326530612201</v>
          </cell>
          <cell r="S193">
            <v>0.35714285714285698</v>
          </cell>
          <cell r="T193">
            <v>0.35714285714285698</v>
          </cell>
          <cell r="U193">
            <v>39.835628642857095</v>
          </cell>
          <cell r="V193">
            <v>40.2965367428571</v>
          </cell>
          <cell r="W193">
            <v>40.406276766666629</v>
          </cell>
          <cell r="X193">
            <v>34.404309766071414</v>
          </cell>
          <cell r="Y193">
            <v>17.897333208333325</v>
          </cell>
          <cell r="Z193">
            <v>172.84008512678551</v>
          </cell>
          <cell r="AA193">
            <v>295556.54556680319</v>
          </cell>
        </row>
        <row r="194">
          <cell r="G194">
            <v>891.5</v>
          </cell>
          <cell r="H194">
            <v>52.083333333333329</v>
          </cell>
          <cell r="I194">
            <v>295.16666666666669</v>
          </cell>
          <cell r="J194">
            <v>153</v>
          </cell>
          <cell r="K194">
            <v>153.41666666666669</v>
          </cell>
          <cell r="L194">
            <v>151.5</v>
          </cell>
          <cell r="M194">
            <v>86.333333333333329</v>
          </cell>
          <cell r="O194">
            <v>0.10447346918526032</v>
          </cell>
          <cell r="P194">
            <v>0.37037037037037035</v>
          </cell>
          <cell r="Q194">
            <v>0.40816326530612201</v>
          </cell>
          <cell r="R194">
            <v>0.40816326530612201</v>
          </cell>
          <cell r="U194">
            <v>93.138097778659571</v>
          </cell>
          <cell r="V194">
            <v>40.2965367428571</v>
          </cell>
          <cell r="W194">
            <v>40.406276766666629</v>
          </cell>
          <cell r="X194">
            <v>34.404309766071414</v>
          </cell>
          <cell r="Y194">
            <v>17.897333208333325</v>
          </cell>
          <cell r="Z194">
            <v>245.43267771937809</v>
          </cell>
          <cell r="AA194">
            <v>377586.17519643286</v>
          </cell>
        </row>
        <row r="196">
          <cell r="E196">
            <v>4225</v>
          </cell>
          <cell r="F196" t="str">
            <v>Hinde House (Brigantia) - Pri</v>
          </cell>
          <cell r="G196">
            <v>427</v>
          </cell>
          <cell r="H196">
            <v>60</v>
          </cell>
          <cell r="I196">
            <v>367</v>
          </cell>
          <cell r="N196" t="str">
            <v/>
          </cell>
          <cell r="O196">
            <v>0.34957020057306593</v>
          </cell>
          <cell r="P196">
            <v>0.34957020057306593</v>
          </cell>
          <cell r="S196">
            <v>128.29226361031519</v>
          </cell>
          <cell r="V196">
            <v>0</v>
          </cell>
          <cell r="Z196">
            <v>149.26647564469914</v>
          </cell>
          <cell r="AA196">
            <v>168671.11747851004</v>
          </cell>
        </row>
        <row r="197">
          <cell r="E197">
            <v>4225</v>
          </cell>
          <cell r="F197" t="str">
            <v>Hinde House (Brigantia) - Sec</v>
          </cell>
          <cell r="G197">
            <v>855</v>
          </cell>
          <cell r="I197">
            <v>193</v>
          </cell>
          <cell r="J197">
            <v>192</v>
          </cell>
          <cell r="K197">
            <v>162</v>
          </cell>
          <cell r="L197">
            <v>146</v>
          </cell>
          <cell r="M197">
            <v>162</v>
          </cell>
          <cell r="N197" t="str">
            <v/>
          </cell>
          <cell r="O197">
            <v>0.53548387096774197</v>
          </cell>
          <cell r="Q197">
            <v>0.53548387096774197</v>
          </cell>
          <cell r="R197">
            <v>0.53548387096774197</v>
          </cell>
          <cell r="S197">
            <v>0.41666666666666702</v>
          </cell>
          <cell r="T197">
            <v>0.59868421052631604</v>
          </cell>
          <cell r="U197">
            <v>66.687752228774201</v>
          </cell>
          <cell r="V197">
            <v>66.342219833806453</v>
          </cell>
          <cell r="W197">
            <v>55.97624798477419</v>
          </cell>
          <cell r="X197">
            <v>38.681193158333365</v>
          </cell>
          <cell r="Y197">
            <v>56.296405296710553</v>
          </cell>
          <cell r="Z197">
            <v>283.98381850239878</v>
          </cell>
          <cell r="AA197">
            <v>485612.32963910192</v>
          </cell>
        </row>
        <row r="198">
          <cell r="G198">
            <v>1282</v>
          </cell>
          <cell r="H198">
            <v>60</v>
          </cell>
          <cell r="I198">
            <v>560</v>
          </cell>
          <cell r="J198">
            <v>192</v>
          </cell>
          <cell r="K198">
            <v>162</v>
          </cell>
          <cell r="L198">
            <v>146</v>
          </cell>
          <cell r="M198">
            <v>162</v>
          </cell>
          <cell r="O198">
            <v>0.15209049597432869</v>
          </cell>
          <cell r="P198">
            <v>0.34957020057306593</v>
          </cell>
          <cell r="Q198">
            <v>0.53548387096774197</v>
          </cell>
          <cell r="R198">
            <v>0.53548387096774197</v>
          </cell>
          <cell r="U198">
            <v>194.98001583908939</v>
          </cell>
          <cell r="V198">
            <v>66.342219833806453</v>
          </cell>
          <cell r="W198">
            <v>55.97624798477419</v>
          </cell>
          <cell r="X198">
            <v>38.681193158333365</v>
          </cell>
          <cell r="Y198">
            <v>56.296405296710553</v>
          </cell>
          <cell r="Z198">
            <v>433.25029414709792</v>
          </cell>
          <cell r="AA198">
            <v>654283.447117612</v>
          </cell>
        </row>
        <row r="200">
          <cell r="E200">
            <v>4005</v>
          </cell>
          <cell r="F200" t="str">
            <v>Oasis Academy Don Valley - Pri</v>
          </cell>
          <cell r="G200">
            <v>418.25</v>
          </cell>
          <cell r="H200">
            <v>59.166666666666671</v>
          </cell>
          <cell r="I200">
            <v>359.08333333333331</v>
          </cell>
          <cell r="O200">
            <v>0.22392638036809817</v>
          </cell>
          <cell r="P200">
            <v>0.22392638036809817</v>
          </cell>
          <cell r="S200">
            <v>80.408231083844584</v>
          </cell>
          <cell r="V200">
            <v>0</v>
          </cell>
          <cell r="Z200">
            <v>93.657208588957062</v>
          </cell>
          <cell r="AA200">
            <v>105832.64570552149</v>
          </cell>
        </row>
        <row r="201">
          <cell r="E201">
            <v>4005</v>
          </cell>
          <cell r="F201" t="str">
            <v>Oasis Academy Don Valley - Sec</v>
          </cell>
          <cell r="G201">
            <v>579.5</v>
          </cell>
          <cell r="I201">
            <v>140.83333333333334</v>
          </cell>
          <cell r="J201">
            <v>128</v>
          </cell>
          <cell r="K201">
            <v>125.5</v>
          </cell>
          <cell r="L201">
            <v>118.66666666666667</v>
          </cell>
          <cell r="M201">
            <v>66.5</v>
          </cell>
          <cell r="O201">
            <v>0.38135593220338998</v>
          </cell>
          <cell r="Q201">
            <v>0.38135593220338998</v>
          </cell>
          <cell r="R201">
            <v>0.38135593220338998</v>
          </cell>
          <cell r="S201">
            <v>0.52427184466019405</v>
          </cell>
          <cell r="T201">
            <v>0.52427184466019405</v>
          </cell>
          <cell r="U201">
            <v>34.655992519067809</v>
          </cell>
          <cell r="V201">
            <v>31.497990833898317</v>
          </cell>
          <cell r="W201">
            <v>30.882795700423738</v>
          </cell>
          <cell r="X201">
            <v>39.558837998446599</v>
          </cell>
          <cell r="Y201">
            <v>20.236995083009706</v>
          </cell>
          <cell r="Z201">
            <v>156.83261213484616</v>
          </cell>
          <cell r="AA201">
            <v>268183.76675058692</v>
          </cell>
        </row>
        <row r="202">
          <cell r="G202">
            <v>997.75</v>
          </cell>
          <cell r="H202">
            <v>59.166666666666671</v>
          </cell>
          <cell r="I202">
            <v>499.91666666666663</v>
          </cell>
          <cell r="J202">
            <v>128</v>
          </cell>
          <cell r="K202">
            <v>125.5</v>
          </cell>
          <cell r="L202">
            <v>118.66666666666667</v>
          </cell>
          <cell r="M202">
            <v>66.5</v>
          </cell>
          <cell r="O202">
            <v>0.11532370193225998</v>
          </cell>
          <cell r="P202">
            <v>0.22392638036809817</v>
          </cell>
          <cell r="Q202">
            <v>0.38135593220338998</v>
          </cell>
          <cell r="R202">
            <v>0.38135593220338998</v>
          </cell>
          <cell r="U202">
            <v>115.06422360291239</v>
          </cell>
          <cell r="V202">
            <v>31.497990833898317</v>
          </cell>
          <cell r="W202">
            <v>30.882795700423738</v>
          </cell>
          <cell r="X202">
            <v>39.558837998446599</v>
          </cell>
          <cell r="Y202">
            <v>20.236995083009706</v>
          </cell>
          <cell r="Z202">
            <v>250.48982072380323</v>
          </cell>
          <cell r="AA202">
            <v>374016.41245610837</v>
          </cell>
        </row>
        <row r="204">
          <cell r="U204">
            <v>0.34817859971265963</v>
          </cell>
          <cell r="V204">
            <v>0.2342609449346911</v>
          </cell>
        </row>
        <row r="205">
          <cell r="F205" t="str">
            <v>Primary/Secondary</v>
          </cell>
          <cell r="O205">
            <v>37102</v>
          </cell>
        </row>
        <row r="206">
          <cell r="F206" t="str">
            <v>Hinde House</v>
          </cell>
          <cell r="O206">
            <v>11052.055832611968</v>
          </cell>
          <cell r="V206">
            <v>0.19153982578063206</v>
          </cell>
          <cell r="AA206" t="str">
            <v>Pri</v>
          </cell>
        </row>
        <row r="207">
          <cell r="F207" t="str">
            <v>Total Low Attain Pupils</v>
          </cell>
          <cell r="O207">
            <v>26049.944167388032</v>
          </cell>
          <cell r="U207">
            <v>8433.2910276433013</v>
          </cell>
          <cell r="AA207">
            <v>12844.900615608482</v>
          </cell>
        </row>
        <row r="208">
          <cell r="O208">
            <v>0.42426408907425051</v>
          </cell>
          <cell r="U208">
            <v>0.6624092389770756</v>
          </cell>
          <cell r="AA208">
            <v>315.51627682624883</v>
          </cell>
        </row>
        <row r="209">
          <cell r="O209">
            <v>0.57573591092574949</v>
          </cell>
          <cell r="AA209">
            <v>13160.41689243473</v>
          </cell>
        </row>
        <row r="210">
          <cell r="AA210">
            <v>0</v>
          </cell>
        </row>
        <row r="211">
          <cell r="P211" t="str">
            <v>Check proportion:</v>
          </cell>
          <cell r="Z211">
            <v>1095</v>
          </cell>
          <cell r="AA211">
            <v>1130</v>
          </cell>
        </row>
        <row r="212">
          <cell r="P212" t="str">
            <v>NOR Y1-5</v>
          </cell>
          <cell r="Q212" t="str">
            <v>NOR Y6</v>
          </cell>
          <cell r="S212" t="str">
            <v>Low At Y1-5</v>
          </cell>
          <cell r="U212" t="str">
            <v>Low At Y6</v>
          </cell>
          <cell r="Y212">
            <v>460614.59123521671</v>
          </cell>
          <cell r="Z212">
            <v>14410656.497216029</v>
          </cell>
          <cell r="AA212">
            <v>14871271.088451246</v>
          </cell>
        </row>
        <row r="213">
          <cell r="P213">
            <v>44028.916666666672</v>
          </cell>
          <cell r="Q213">
            <v>6002.5833333333339</v>
          </cell>
          <cell r="S213">
            <v>11180.348096222284</v>
          </cell>
          <cell r="U213">
            <v>0</v>
          </cell>
          <cell r="AA213">
            <v>0.29836633492452613</v>
          </cell>
        </row>
        <row r="214">
          <cell r="S214">
            <v>0.25393193706913714</v>
          </cell>
          <cell r="U214">
            <v>0</v>
          </cell>
          <cell r="AA214" t="str">
            <v>Low Attain Pupils</v>
          </cell>
        </row>
        <row r="215">
          <cell r="U215">
            <v>0.25393193706913714</v>
          </cell>
        </row>
      </sheetData>
      <sheetData sheetId="23">
        <row r="1">
          <cell r="D1" t="str">
            <v>EAL Funding</v>
          </cell>
          <cell r="G1" t="str">
            <v>2022-23</v>
          </cell>
        </row>
        <row r="2">
          <cell r="J2" t="str">
            <v>2020-21</v>
          </cell>
        </row>
        <row r="3">
          <cell r="I3" t="str">
            <v>Primary</v>
          </cell>
        </row>
        <row r="4">
          <cell r="I4" t="str">
            <v>Secondary</v>
          </cell>
        </row>
        <row r="6">
          <cell r="D6" t="str">
            <v>DfE</v>
          </cell>
          <cell r="E6" t="str">
            <v>School</v>
          </cell>
          <cell r="G6" t="str">
            <v>Pupil No.</v>
          </cell>
          <cell r="H6" t="str">
            <v>EAL %</v>
          </cell>
          <cell r="I6" t="str">
            <v>No. EAL</v>
          </cell>
          <cell r="J6" t="str">
            <v>Amount £</v>
          </cell>
        </row>
        <row r="7">
          <cell r="H7">
            <v>45</v>
          </cell>
        </row>
        <row r="8">
          <cell r="D8">
            <v>2001</v>
          </cell>
          <cell r="E8" t="str">
            <v>Abbey Lane Primary School</v>
          </cell>
          <cell r="G8">
            <v>557</v>
          </cell>
          <cell r="H8">
            <v>2.4193548387096801E-2</v>
          </cell>
          <cell r="I8">
            <v>13.475806451612918</v>
          </cell>
          <cell r="J8">
            <v>7613.8306451612989</v>
          </cell>
        </row>
        <row r="9">
          <cell r="D9">
            <v>2046</v>
          </cell>
          <cell r="E9" t="str">
            <v>Abbeyfield Primary Academy</v>
          </cell>
          <cell r="G9">
            <v>354</v>
          </cell>
          <cell r="H9">
            <v>0.32500000000000001</v>
          </cell>
          <cell r="I9">
            <v>115.05</v>
          </cell>
          <cell r="J9">
            <v>65003.25</v>
          </cell>
        </row>
        <row r="10">
          <cell r="D10">
            <v>2048</v>
          </cell>
          <cell r="E10" t="str">
            <v>Acres Hill Community Primary School</v>
          </cell>
          <cell r="G10">
            <v>194</v>
          </cell>
          <cell r="H10">
            <v>0.28048780487804897</v>
          </cell>
          <cell r="I10">
            <v>54.414634146341498</v>
          </cell>
          <cell r="J10">
            <v>30744.268292682948</v>
          </cell>
        </row>
        <row r="11">
          <cell r="D11">
            <v>2342</v>
          </cell>
          <cell r="E11" t="str">
            <v>Angram Bank Primary School</v>
          </cell>
          <cell r="G11">
            <v>195</v>
          </cell>
          <cell r="H11">
            <v>1.8072289156626498E-2</v>
          </cell>
          <cell r="I11">
            <v>3.5240963855421672</v>
          </cell>
          <cell r="J11">
            <v>1991.1144578313244</v>
          </cell>
        </row>
        <row r="12">
          <cell r="D12">
            <v>2343</v>
          </cell>
          <cell r="E12" t="str">
            <v>Anns Grove Primary School</v>
          </cell>
          <cell r="G12">
            <v>324</v>
          </cell>
          <cell r="H12">
            <v>0.19011406844106499</v>
          </cell>
          <cell r="I12">
            <v>61.596958174905055</v>
          </cell>
          <cell r="J12">
            <v>34802.281368821357</v>
          </cell>
        </row>
        <row r="13">
          <cell r="D13">
            <v>3429</v>
          </cell>
          <cell r="E13" t="str">
            <v>Arbourthorne Community Primary School</v>
          </cell>
          <cell r="G13">
            <v>403</v>
          </cell>
          <cell r="H13">
            <v>0.101449275362319</v>
          </cell>
          <cell r="I13">
            <v>40.884057971014556</v>
          </cell>
          <cell r="J13">
            <v>23099.492753623224</v>
          </cell>
        </row>
        <row r="14">
          <cell r="D14">
            <v>2340</v>
          </cell>
          <cell r="E14" t="str">
            <v>Athelstan Primary School</v>
          </cell>
          <cell r="G14">
            <v>615</v>
          </cell>
          <cell r="H14">
            <v>8.9353612167300395E-2</v>
          </cell>
          <cell r="I14">
            <v>54.952471482889742</v>
          </cell>
          <cell r="J14">
            <v>31048.146387832705</v>
          </cell>
        </row>
        <row r="15">
          <cell r="D15">
            <v>2281</v>
          </cell>
          <cell r="E15" t="str">
            <v>Ballifield Primary School</v>
          </cell>
          <cell r="G15">
            <v>415</v>
          </cell>
          <cell r="H15">
            <v>1.6901408450704199E-2</v>
          </cell>
          <cell r="I15">
            <v>7.0140845070422424</v>
          </cell>
          <cell r="J15">
            <v>3962.9577464788667</v>
          </cell>
        </row>
        <row r="16">
          <cell r="D16">
            <v>2322</v>
          </cell>
          <cell r="E16" t="str">
            <v>Bankwood Community Primary School</v>
          </cell>
          <cell r="G16">
            <v>363</v>
          </cell>
          <cell r="H16">
            <v>0.19480519480519501</v>
          </cell>
          <cell r="I16">
            <v>70.714285714285793</v>
          </cell>
          <cell r="J16">
            <v>39953.571428571471</v>
          </cell>
        </row>
        <row r="17">
          <cell r="D17">
            <v>2274</v>
          </cell>
          <cell r="E17" t="str">
            <v>Beck Primary School</v>
          </cell>
          <cell r="G17">
            <v>610</v>
          </cell>
          <cell r="H17">
            <v>8.8345864661654103E-2</v>
          </cell>
          <cell r="I17">
            <v>53.890977443609003</v>
          </cell>
          <cell r="J17">
            <v>30448.402255639088</v>
          </cell>
        </row>
        <row r="18">
          <cell r="D18">
            <v>2241</v>
          </cell>
          <cell r="E18" t="str">
            <v>Beighton Nursery Infant School</v>
          </cell>
          <cell r="G18">
            <v>249</v>
          </cell>
          <cell r="H18">
            <v>3.4285714285714301E-2</v>
          </cell>
          <cell r="I18">
            <v>8.5371428571428609</v>
          </cell>
          <cell r="J18">
            <v>4823.4857142857163</v>
          </cell>
        </row>
        <row r="19">
          <cell r="D19">
            <v>2353</v>
          </cell>
          <cell r="E19" t="str">
            <v>Birley Primary Academy</v>
          </cell>
          <cell r="G19">
            <v>533</v>
          </cell>
          <cell r="H19">
            <v>0</v>
          </cell>
          <cell r="I19">
            <v>0</v>
          </cell>
          <cell r="J19">
            <v>0</v>
          </cell>
        </row>
        <row r="20">
          <cell r="D20">
            <v>2323</v>
          </cell>
          <cell r="E20" t="str">
            <v>Birley Spa Primary Academy</v>
          </cell>
          <cell r="G20">
            <v>355</v>
          </cell>
          <cell r="H20">
            <v>1.9047619047619001E-2</v>
          </cell>
          <cell r="I20">
            <v>6.761904761904745</v>
          </cell>
          <cell r="J20">
            <v>3820.4761904761808</v>
          </cell>
        </row>
        <row r="21">
          <cell r="D21">
            <v>2328</v>
          </cell>
          <cell r="E21" t="str">
            <v>Bradfield Dungworth Primary School</v>
          </cell>
          <cell r="G21">
            <v>126</v>
          </cell>
          <cell r="H21">
            <v>0</v>
          </cell>
          <cell r="I21">
            <v>0</v>
          </cell>
          <cell r="J21">
            <v>0</v>
          </cell>
        </row>
        <row r="22">
          <cell r="D22">
            <v>2233</v>
          </cell>
          <cell r="E22" t="str">
            <v>Bradway Primary School</v>
          </cell>
          <cell r="G22">
            <v>413</v>
          </cell>
          <cell r="H22">
            <v>3.6827195467422101E-2</v>
          </cell>
          <cell r="I22">
            <v>15.209631728045327</v>
          </cell>
          <cell r="J22">
            <v>8593.4419263456093</v>
          </cell>
        </row>
        <row r="23">
          <cell r="D23">
            <v>2014</v>
          </cell>
          <cell r="E23" t="str">
            <v>Brightside Nursery and Infant School</v>
          </cell>
          <cell r="G23">
            <v>171</v>
          </cell>
          <cell r="H23">
            <v>0.42342342342342298</v>
          </cell>
          <cell r="I23">
            <v>72.405405405405332</v>
          </cell>
          <cell r="J23">
            <v>40909.05405405401</v>
          </cell>
        </row>
        <row r="24">
          <cell r="D24">
            <v>2246</v>
          </cell>
          <cell r="E24" t="str">
            <v>Brook House Junior</v>
          </cell>
          <cell r="G24">
            <v>339</v>
          </cell>
          <cell r="H24">
            <v>8.8495575221238902E-3</v>
          </cell>
          <cell r="I24">
            <v>2.9999999999999987</v>
          </cell>
          <cell r="J24">
            <v>1694.9999999999993</v>
          </cell>
        </row>
        <row r="25">
          <cell r="D25">
            <v>5204</v>
          </cell>
          <cell r="E25" t="str">
            <v>Broomhill Infant School</v>
          </cell>
          <cell r="G25">
            <v>112</v>
          </cell>
          <cell r="H25">
            <v>0.34722222222222199</v>
          </cell>
          <cell r="I25">
            <v>38.888888888888864</v>
          </cell>
          <cell r="J25">
            <v>21972.222222222208</v>
          </cell>
        </row>
        <row r="26">
          <cell r="D26">
            <v>2325</v>
          </cell>
          <cell r="E26" t="str">
            <v>Brunswick Community Primary School</v>
          </cell>
          <cell r="G26">
            <v>413</v>
          </cell>
          <cell r="H26">
            <v>1.9774011299434999E-2</v>
          </cell>
          <cell r="I26">
            <v>8.1666666666666536</v>
          </cell>
          <cell r="J26">
            <v>4614.1666666666597</v>
          </cell>
        </row>
        <row r="27">
          <cell r="D27">
            <v>2095</v>
          </cell>
          <cell r="E27" t="str">
            <v>Byron Wood Primary Academy</v>
          </cell>
          <cell r="G27">
            <v>395</v>
          </cell>
          <cell r="H27">
            <v>0.44574780058650998</v>
          </cell>
          <cell r="I27">
            <v>176.07038123167143</v>
          </cell>
          <cell r="J27">
            <v>99479.765395894356</v>
          </cell>
        </row>
        <row r="28">
          <cell r="D28">
            <v>2344</v>
          </cell>
          <cell r="E28" t="str">
            <v>Carfield Primary School</v>
          </cell>
          <cell r="G28">
            <v>550</v>
          </cell>
          <cell r="H28">
            <v>5.78158458244111E-2</v>
          </cell>
          <cell r="I28">
            <v>31.798715203426106</v>
          </cell>
          <cell r="J28">
            <v>17966.274089935749</v>
          </cell>
        </row>
        <row r="29">
          <cell r="D29">
            <v>2023</v>
          </cell>
          <cell r="E29" t="str">
            <v>Carter Knowle Junior School</v>
          </cell>
          <cell r="G29">
            <v>223</v>
          </cell>
          <cell r="H29">
            <v>4.52488687782805E-2</v>
          </cell>
          <cell r="I29">
            <v>10.090497737556552</v>
          </cell>
          <cell r="J29">
            <v>5701.1312217194518</v>
          </cell>
        </row>
        <row r="30">
          <cell r="D30">
            <v>2354</v>
          </cell>
          <cell r="E30" t="str">
            <v>Charnock Hall Primary Academy</v>
          </cell>
          <cell r="G30">
            <v>401</v>
          </cell>
          <cell r="H30">
            <v>1.17302052785924E-2</v>
          </cell>
          <cell r="I30">
            <v>4.7038123167155526</v>
          </cell>
          <cell r="J30">
            <v>2657.6539589442873</v>
          </cell>
        </row>
        <row r="31">
          <cell r="D31">
            <v>5200</v>
          </cell>
          <cell r="E31" t="str">
            <v>Clifford All Saints CofE Primary School</v>
          </cell>
          <cell r="G31">
            <v>191</v>
          </cell>
          <cell r="H31">
            <v>8.1395348837209294E-2</v>
          </cell>
          <cell r="I31">
            <v>15.546511627906975</v>
          </cell>
          <cell r="J31">
            <v>8783.7790697674409</v>
          </cell>
        </row>
        <row r="32">
          <cell r="D32">
            <v>2312</v>
          </cell>
          <cell r="E32" t="str">
            <v>Coit Primary School</v>
          </cell>
          <cell r="G32">
            <v>201</v>
          </cell>
          <cell r="H32">
            <v>2.9239766081871298E-2</v>
          </cell>
          <cell r="I32">
            <v>5.8771929824561306</v>
          </cell>
          <cell r="J32">
            <v>3320.614035087714</v>
          </cell>
        </row>
        <row r="33">
          <cell r="D33">
            <v>2026</v>
          </cell>
          <cell r="E33" t="str">
            <v>Concord Junior School</v>
          </cell>
          <cell r="G33">
            <v>190</v>
          </cell>
          <cell r="H33">
            <v>0.121052631578947</v>
          </cell>
          <cell r="I33">
            <v>22.999999999999929</v>
          </cell>
          <cell r="J33">
            <v>12994.99999999996</v>
          </cell>
        </row>
        <row r="34">
          <cell r="D34">
            <v>3422</v>
          </cell>
          <cell r="E34" t="str">
            <v>Deepcar St John's Church of England Junior School</v>
          </cell>
          <cell r="G34">
            <v>166</v>
          </cell>
          <cell r="H34">
            <v>1.20481927710843E-2</v>
          </cell>
          <cell r="I34">
            <v>1.9999999999999938</v>
          </cell>
          <cell r="J34">
            <v>1129.9999999999966</v>
          </cell>
        </row>
        <row r="35">
          <cell r="D35">
            <v>2283</v>
          </cell>
          <cell r="E35" t="str">
            <v>Dobcroft Infant School</v>
          </cell>
          <cell r="G35">
            <v>270</v>
          </cell>
          <cell r="H35">
            <v>0.21666666666666701</v>
          </cell>
          <cell r="I35">
            <v>58.500000000000092</v>
          </cell>
          <cell r="J35">
            <v>33052.500000000051</v>
          </cell>
        </row>
        <row r="36">
          <cell r="D36">
            <v>2239</v>
          </cell>
          <cell r="E36" t="str">
            <v>Dobcroft Junior School</v>
          </cell>
          <cell r="G36">
            <v>419</v>
          </cell>
          <cell r="H36">
            <v>3.8186157517899798E-2</v>
          </cell>
          <cell r="I36">
            <v>16.000000000000014</v>
          </cell>
          <cell r="J36">
            <v>9040.0000000000073</v>
          </cell>
        </row>
        <row r="37">
          <cell r="D37">
            <v>2364</v>
          </cell>
          <cell r="E37" t="str">
            <v>Dore Primary School</v>
          </cell>
          <cell r="G37">
            <v>446</v>
          </cell>
          <cell r="H37">
            <v>1.38121546961326E-2</v>
          </cell>
          <cell r="I37">
            <v>6.1602209944751394</v>
          </cell>
          <cell r="J37">
            <v>3480.5248618784535</v>
          </cell>
        </row>
        <row r="38">
          <cell r="D38">
            <v>2016</v>
          </cell>
          <cell r="E38" t="str">
            <v>E-ACT Pathways Academy</v>
          </cell>
          <cell r="G38">
            <v>350</v>
          </cell>
          <cell r="H38">
            <v>0.124590163934426</v>
          </cell>
          <cell r="I38">
            <v>43.6065573770491</v>
          </cell>
          <cell r="J38">
            <v>24637.704918032741</v>
          </cell>
        </row>
        <row r="39">
          <cell r="D39">
            <v>2206</v>
          </cell>
          <cell r="E39" t="str">
            <v>Ecclesall Primary School</v>
          </cell>
          <cell r="G39">
            <v>601</v>
          </cell>
          <cell r="H39">
            <v>2.7613412228796801E-2</v>
          </cell>
          <cell r="I39">
            <v>16.595660749506877</v>
          </cell>
          <cell r="J39">
            <v>9376.5483234713847</v>
          </cell>
        </row>
        <row r="40">
          <cell r="D40">
            <v>2080</v>
          </cell>
          <cell r="E40" t="str">
            <v>Ecclesfield Primary School</v>
          </cell>
          <cell r="G40">
            <v>392</v>
          </cell>
          <cell r="H40">
            <v>2.9585798816568001E-2</v>
          </cell>
          <cell r="I40">
            <v>11.597633136094656</v>
          </cell>
          <cell r="J40">
            <v>6552.66272189348</v>
          </cell>
        </row>
        <row r="41">
          <cell r="D41">
            <v>2024</v>
          </cell>
          <cell r="E41" t="str">
            <v>Emmanuel Anglican/Methodist Junior School</v>
          </cell>
          <cell r="G41">
            <v>187</v>
          </cell>
          <cell r="H41">
            <v>0</v>
          </cell>
          <cell r="I41">
            <v>0</v>
          </cell>
          <cell r="J41">
            <v>0</v>
          </cell>
        </row>
        <row r="42">
          <cell r="D42">
            <v>2028</v>
          </cell>
          <cell r="E42" t="str">
            <v>Emmaus Catholic and CofE Primary School</v>
          </cell>
          <cell r="G42">
            <v>296</v>
          </cell>
          <cell r="H42">
            <v>0.18218623481781401</v>
          </cell>
          <cell r="I42">
            <v>53.927125506072947</v>
          </cell>
          <cell r="J42">
            <v>30468.825910931217</v>
          </cell>
        </row>
        <row r="43">
          <cell r="D43">
            <v>2010</v>
          </cell>
          <cell r="E43" t="str">
            <v>Fox Hill Primary</v>
          </cell>
          <cell r="G43">
            <v>291</v>
          </cell>
          <cell r="H43">
            <v>3.9525691699604702E-2</v>
          </cell>
          <cell r="I43">
            <v>11.501976284584968</v>
          </cell>
          <cell r="J43">
            <v>6498.6166007905067</v>
          </cell>
        </row>
        <row r="44">
          <cell r="D44">
            <v>2036</v>
          </cell>
          <cell r="E44" t="str">
            <v>Gleadless Primary School</v>
          </cell>
          <cell r="G44">
            <v>393</v>
          </cell>
          <cell r="H44">
            <v>2.7190332326284001E-2</v>
          </cell>
          <cell r="I44">
            <v>10.685800604229613</v>
          </cell>
          <cell r="J44">
            <v>6037.477341389731</v>
          </cell>
        </row>
        <row r="45">
          <cell r="D45">
            <v>2305</v>
          </cell>
          <cell r="E45" t="str">
            <v>Greengate Lane Academy</v>
          </cell>
          <cell r="G45">
            <v>187</v>
          </cell>
          <cell r="H45">
            <v>3.1055900621118002E-2</v>
          </cell>
          <cell r="I45">
            <v>5.8074534161490661</v>
          </cell>
          <cell r="J45">
            <v>3281.2111801242222</v>
          </cell>
        </row>
        <row r="46">
          <cell r="D46">
            <v>2341</v>
          </cell>
          <cell r="E46" t="str">
            <v>Greenhill Primary School</v>
          </cell>
          <cell r="G46">
            <v>466</v>
          </cell>
          <cell r="H46">
            <v>6.0532687651331699E-2</v>
          </cell>
          <cell r="I46">
            <v>28.208232445520572</v>
          </cell>
          <cell r="J46">
            <v>15937.651331719124</v>
          </cell>
        </row>
        <row r="47">
          <cell r="D47">
            <v>2296</v>
          </cell>
          <cell r="E47" t="str">
            <v>Grenoside Community Primary School</v>
          </cell>
          <cell r="G47">
            <v>314</v>
          </cell>
          <cell r="H47">
            <v>2.1505376344085999E-2</v>
          </cell>
          <cell r="I47">
            <v>6.7526881720430039</v>
          </cell>
          <cell r="J47">
            <v>3815.2688172042972</v>
          </cell>
        </row>
        <row r="48">
          <cell r="D48">
            <v>2356</v>
          </cell>
          <cell r="E48" t="str">
            <v>Greystones Primary School</v>
          </cell>
          <cell r="G48">
            <v>625</v>
          </cell>
          <cell r="H48">
            <v>5.60747663551402E-2</v>
          </cell>
          <cell r="I48">
            <v>35.046728971962622</v>
          </cell>
          <cell r="J48">
            <v>19801.401869158883</v>
          </cell>
        </row>
        <row r="49">
          <cell r="D49">
            <v>2279</v>
          </cell>
          <cell r="E49" t="str">
            <v>Halfway Junior School</v>
          </cell>
          <cell r="G49">
            <v>211</v>
          </cell>
          <cell r="H49">
            <v>4.739336492891E-3</v>
          </cell>
          <cell r="I49">
            <v>1.0000000000000009</v>
          </cell>
          <cell r="J49">
            <v>565.00000000000045</v>
          </cell>
        </row>
        <row r="50">
          <cell r="D50">
            <v>2252</v>
          </cell>
          <cell r="E50" t="str">
            <v>Halfway Nursery Infant School</v>
          </cell>
          <cell r="G50">
            <v>156</v>
          </cell>
          <cell r="H50">
            <v>2.06185567010309E-2</v>
          </cell>
          <cell r="I50">
            <v>3.2164948453608204</v>
          </cell>
          <cell r="J50">
            <v>1817.3195876288635</v>
          </cell>
        </row>
        <row r="51">
          <cell r="D51">
            <v>2357</v>
          </cell>
          <cell r="E51" t="str">
            <v>Hallam Primary School</v>
          </cell>
          <cell r="G51">
            <v>624</v>
          </cell>
          <cell r="H51">
            <v>7.4906367041198504E-2</v>
          </cell>
          <cell r="I51">
            <v>46.741573033707866</v>
          </cell>
          <cell r="J51">
            <v>26408.988764044945</v>
          </cell>
        </row>
        <row r="52">
          <cell r="D52">
            <v>2050</v>
          </cell>
          <cell r="E52" t="str">
            <v>Hartley Brook Primary School</v>
          </cell>
          <cell r="G52">
            <v>594</v>
          </cell>
          <cell r="H52">
            <v>6.9230769230769207E-2</v>
          </cell>
          <cell r="I52">
            <v>41.123076923076908</v>
          </cell>
          <cell r="J52">
            <v>23234.538461538454</v>
          </cell>
        </row>
        <row r="53">
          <cell r="D53">
            <v>2049</v>
          </cell>
          <cell r="E53" t="str">
            <v>Hatfield Academy</v>
          </cell>
          <cell r="G53">
            <v>371</v>
          </cell>
          <cell r="H53">
            <v>0.21148036253776401</v>
          </cell>
          <cell r="I53">
            <v>78.459214501510445</v>
          </cell>
          <cell r="J53">
            <v>44329.456193353399</v>
          </cell>
        </row>
        <row r="54">
          <cell r="D54">
            <v>2297</v>
          </cell>
          <cell r="E54" t="str">
            <v>High Green Primary School</v>
          </cell>
          <cell r="G54">
            <v>199</v>
          </cell>
          <cell r="H54">
            <v>0</v>
          </cell>
          <cell r="I54">
            <v>0</v>
          </cell>
          <cell r="J54">
            <v>0</v>
          </cell>
        </row>
        <row r="55">
          <cell r="D55">
            <v>2042</v>
          </cell>
          <cell r="E55" t="str">
            <v>High Hazels Junior School</v>
          </cell>
          <cell r="G55">
            <v>351</v>
          </cell>
          <cell r="H55">
            <v>0.23931623931623899</v>
          </cell>
          <cell r="I55">
            <v>83.999999999999886</v>
          </cell>
          <cell r="J55">
            <v>47459.999999999935</v>
          </cell>
        </row>
        <row r="56">
          <cell r="D56">
            <v>2039</v>
          </cell>
          <cell r="E56" t="str">
            <v>High Hazels Nursery Infant Academy</v>
          </cell>
          <cell r="G56">
            <v>229</v>
          </cell>
          <cell r="H56">
            <v>0.78064516129032302</v>
          </cell>
          <cell r="I56">
            <v>178.76774193548397</v>
          </cell>
          <cell r="J56">
            <v>101003.77419354844</v>
          </cell>
        </row>
        <row r="57">
          <cell r="D57">
            <v>2339</v>
          </cell>
          <cell r="E57" t="str">
            <v>Hillsborough Primary School</v>
          </cell>
          <cell r="G57">
            <v>347</v>
          </cell>
          <cell r="H57">
            <v>0.13945578231292499</v>
          </cell>
          <cell r="I57">
            <v>48.391156462584973</v>
          </cell>
          <cell r="J57">
            <v>27341.003401360511</v>
          </cell>
        </row>
        <row r="58">
          <cell r="D58">
            <v>2213</v>
          </cell>
          <cell r="E58" t="str">
            <v>Holt House Infant School</v>
          </cell>
          <cell r="G58">
            <v>179</v>
          </cell>
          <cell r="H58">
            <v>0.10084033613445401</v>
          </cell>
          <cell r="I58">
            <v>18.050420168067266</v>
          </cell>
          <cell r="J58">
            <v>10198.487394958005</v>
          </cell>
        </row>
        <row r="59">
          <cell r="D59">
            <v>2337</v>
          </cell>
          <cell r="E59" t="str">
            <v>Hucklow Primary School</v>
          </cell>
          <cell r="G59">
            <v>413</v>
          </cell>
          <cell r="H59">
            <v>0.40502793296089401</v>
          </cell>
          <cell r="I59">
            <v>167.27653631284923</v>
          </cell>
          <cell r="J59">
            <v>94511.243016759821</v>
          </cell>
        </row>
        <row r="60">
          <cell r="D60">
            <v>2060</v>
          </cell>
          <cell r="E60" t="str">
            <v>Hunter's Bar Infant School</v>
          </cell>
          <cell r="G60">
            <v>267</v>
          </cell>
          <cell r="H60">
            <v>0.25842696629213502</v>
          </cell>
          <cell r="I60">
            <v>69.000000000000057</v>
          </cell>
          <cell r="J60">
            <v>38985.000000000029</v>
          </cell>
        </row>
        <row r="61">
          <cell r="D61">
            <v>2058</v>
          </cell>
          <cell r="E61" t="str">
            <v>Hunter's Bar Junior School</v>
          </cell>
          <cell r="G61">
            <v>362</v>
          </cell>
          <cell r="H61">
            <v>7.7348066298342497E-2</v>
          </cell>
          <cell r="I61">
            <v>27.999999999999982</v>
          </cell>
          <cell r="J61">
            <v>15819.999999999989</v>
          </cell>
        </row>
        <row r="62">
          <cell r="D62">
            <v>2063</v>
          </cell>
          <cell r="E62" t="str">
            <v>Intake Primary School</v>
          </cell>
          <cell r="G62">
            <v>409</v>
          </cell>
          <cell r="H62">
            <v>1.4285714285714299E-2</v>
          </cell>
          <cell r="I62">
            <v>5.8428571428571487</v>
          </cell>
          <cell r="J62">
            <v>3301.214285714289</v>
          </cell>
        </row>
        <row r="63">
          <cell r="D63">
            <v>2261</v>
          </cell>
          <cell r="E63" t="str">
            <v>Limpsfield Junior School</v>
          </cell>
          <cell r="G63">
            <v>235</v>
          </cell>
          <cell r="H63">
            <v>0.123404255319149</v>
          </cell>
          <cell r="I63">
            <v>29.000000000000014</v>
          </cell>
          <cell r="J63">
            <v>16385.000000000007</v>
          </cell>
        </row>
        <row r="64">
          <cell r="D64">
            <v>2315</v>
          </cell>
          <cell r="E64" t="str">
            <v>Lound Infant School</v>
          </cell>
          <cell r="G64">
            <v>145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2298</v>
          </cell>
          <cell r="E65" t="str">
            <v>Lound Junior School</v>
          </cell>
          <cell r="G65">
            <v>209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2029</v>
          </cell>
          <cell r="E66" t="str">
            <v>Lowedges Junior Academy</v>
          </cell>
          <cell r="G66">
            <v>302</v>
          </cell>
          <cell r="H66">
            <v>0.122605363984674</v>
          </cell>
          <cell r="I66">
            <v>37.026819923371548</v>
          </cell>
          <cell r="J66">
            <v>20920.153256704925</v>
          </cell>
        </row>
        <row r="67">
          <cell r="D67">
            <v>2045</v>
          </cell>
          <cell r="E67" t="str">
            <v>Lower Meadow Primary School</v>
          </cell>
          <cell r="G67">
            <v>249</v>
          </cell>
          <cell r="H67">
            <v>0.117924528301887</v>
          </cell>
          <cell r="I67">
            <v>29.363207547169864</v>
          </cell>
          <cell r="J67">
            <v>16590.212264150974</v>
          </cell>
        </row>
        <row r="68">
          <cell r="D68">
            <v>2070</v>
          </cell>
          <cell r="E68" t="str">
            <v>Lowfield Community Primary School</v>
          </cell>
          <cell r="G68">
            <v>365</v>
          </cell>
          <cell r="H68">
            <v>0.46439628482972101</v>
          </cell>
          <cell r="I68">
            <v>169.50464396284818</v>
          </cell>
          <cell r="J68">
            <v>95770.123839009218</v>
          </cell>
        </row>
        <row r="69">
          <cell r="D69">
            <v>2292</v>
          </cell>
          <cell r="E69" t="str">
            <v>Loxley Primary School</v>
          </cell>
          <cell r="G69">
            <v>209</v>
          </cell>
          <cell r="H69">
            <v>5.5865921787709499E-3</v>
          </cell>
          <cell r="I69">
            <v>1.1675977653631284</v>
          </cell>
          <cell r="J69">
            <v>659.69273743016754</v>
          </cell>
        </row>
        <row r="70">
          <cell r="D70">
            <v>2072</v>
          </cell>
          <cell r="E70" t="str">
            <v>Lydgate Infant School</v>
          </cell>
          <cell r="G70">
            <v>356</v>
          </cell>
          <cell r="H70">
            <v>0.22689075630252101</v>
          </cell>
          <cell r="I70">
            <v>80.773109243697476</v>
          </cell>
          <cell r="J70">
            <v>45636.806722689071</v>
          </cell>
        </row>
        <row r="71">
          <cell r="D71">
            <v>2071</v>
          </cell>
          <cell r="E71" t="str">
            <v>Lydgate Junior School</v>
          </cell>
          <cell r="G71">
            <v>475</v>
          </cell>
          <cell r="H71">
            <v>7.1729957805907199E-2</v>
          </cell>
          <cell r="I71">
            <v>34.071729957805921</v>
          </cell>
          <cell r="J71">
            <v>19250.527426160344</v>
          </cell>
        </row>
        <row r="72">
          <cell r="D72">
            <v>2358</v>
          </cell>
          <cell r="E72" t="str">
            <v>Malin Bridge Primary School</v>
          </cell>
          <cell r="G72">
            <v>522</v>
          </cell>
          <cell r="H72">
            <v>3.35570469798658E-2</v>
          </cell>
          <cell r="I72">
            <v>17.516778523489947</v>
          </cell>
          <cell r="J72">
            <v>9896.9798657718202</v>
          </cell>
        </row>
        <row r="73">
          <cell r="D73">
            <v>2359</v>
          </cell>
          <cell r="E73" t="str">
            <v>Manor Lodge Community Primary and Nursery School</v>
          </cell>
          <cell r="G73">
            <v>319</v>
          </cell>
          <cell r="H73">
            <v>0.18532818532818501</v>
          </cell>
          <cell r="I73">
            <v>59.119691119691019</v>
          </cell>
          <cell r="J73">
            <v>33402.625482625423</v>
          </cell>
        </row>
        <row r="74">
          <cell r="D74">
            <v>2012</v>
          </cell>
          <cell r="E74" t="str">
            <v>Mansel Primary</v>
          </cell>
          <cell r="G74">
            <v>385</v>
          </cell>
          <cell r="H74">
            <v>4.7058823529411799E-2</v>
          </cell>
          <cell r="I74">
            <v>18.117647058823543</v>
          </cell>
          <cell r="J74">
            <v>10236.470588235303</v>
          </cell>
        </row>
        <row r="75">
          <cell r="D75">
            <v>2079</v>
          </cell>
          <cell r="E75" t="str">
            <v>Marlcliffe Community Primary School</v>
          </cell>
          <cell r="G75">
            <v>509</v>
          </cell>
          <cell r="H75">
            <v>2.5287356321839101E-2</v>
          </cell>
          <cell r="I75">
            <v>12.871264367816103</v>
          </cell>
          <cell r="J75">
            <v>7272.2643678160985</v>
          </cell>
        </row>
        <row r="76">
          <cell r="D76">
            <v>2081</v>
          </cell>
          <cell r="E76" t="str">
            <v>Meersbrook Bank Primary School</v>
          </cell>
          <cell r="G76">
            <v>200</v>
          </cell>
          <cell r="H76">
            <v>3.5502958579881699E-2</v>
          </cell>
          <cell r="I76">
            <v>7.1005917159763401</v>
          </cell>
          <cell r="J76">
            <v>4011.834319526632</v>
          </cell>
        </row>
        <row r="77">
          <cell r="D77">
            <v>2013</v>
          </cell>
          <cell r="E77" t="str">
            <v>Meynell Community Primary School</v>
          </cell>
          <cell r="G77">
            <v>361</v>
          </cell>
          <cell r="H77">
            <v>7.4918566775244305E-2</v>
          </cell>
          <cell r="I77">
            <v>27.045602605863195</v>
          </cell>
          <cell r="J77">
            <v>15280.765472312705</v>
          </cell>
        </row>
        <row r="78">
          <cell r="D78">
            <v>2346</v>
          </cell>
          <cell r="E78" t="str">
            <v>Monteney Primary School</v>
          </cell>
          <cell r="G78">
            <v>400</v>
          </cell>
          <cell r="H78">
            <v>1.4204545454545499E-2</v>
          </cell>
          <cell r="I78">
            <v>5.6818181818181994</v>
          </cell>
          <cell r="J78">
            <v>3210.2272727272825</v>
          </cell>
        </row>
        <row r="79">
          <cell r="D79">
            <v>2257</v>
          </cell>
          <cell r="E79" t="str">
            <v>Mosborough Primary School</v>
          </cell>
          <cell r="G79">
            <v>410</v>
          </cell>
          <cell r="H79">
            <v>1.13960113960114E-2</v>
          </cell>
          <cell r="I79">
            <v>4.6723646723646741</v>
          </cell>
          <cell r="J79">
            <v>2639.8860398860411</v>
          </cell>
        </row>
        <row r="80">
          <cell r="D80">
            <v>2092</v>
          </cell>
          <cell r="E80" t="str">
            <v>Mundella Primary School</v>
          </cell>
          <cell r="G80">
            <v>420</v>
          </cell>
          <cell r="H80">
            <v>5.5555555555555601E-3</v>
          </cell>
          <cell r="I80">
            <v>2.3333333333333353</v>
          </cell>
          <cell r="J80">
            <v>1318.3333333333344</v>
          </cell>
        </row>
        <row r="81">
          <cell r="D81">
            <v>2002</v>
          </cell>
          <cell r="E81" t="str">
            <v>Nether Edge Primary School</v>
          </cell>
          <cell r="G81">
            <v>404</v>
          </cell>
          <cell r="H81">
            <v>0.20059880239521</v>
          </cell>
          <cell r="I81">
            <v>81.041916167664837</v>
          </cell>
          <cell r="J81">
            <v>45788.682634730634</v>
          </cell>
        </row>
        <row r="82">
          <cell r="D82">
            <v>2221</v>
          </cell>
          <cell r="E82" t="str">
            <v>Nether Green Infant School</v>
          </cell>
          <cell r="G82">
            <v>211</v>
          </cell>
          <cell r="H82">
            <v>0.13235294117647101</v>
          </cell>
          <cell r="I82">
            <v>27.926470588235382</v>
          </cell>
          <cell r="J82">
            <v>15778.455882352991</v>
          </cell>
        </row>
        <row r="83">
          <cell r="D83">
            <v>2087</v>
          </cell>
          <cell r="E83" t="str">
            <v>Nether Green Junior School</v>
          </cell>
          <cell r="G83">
            <v>359</v>
          </cell>
          <cell r="H83">
            <v>4.73537604456825E-2</v>
          </cell>
          <cell r="I83">
            <v>17.000000000000018</v>
          </cell>
          <cell r="J83">
            <v>9605.0000000000109</v>
          </cell>
        </row>
        <row r="84">
          <cell r="D84">
            <v>2272</v>
          </cell>
          <cell r="E84" t="str">
            <v>Netherthorpe Primary School</v>
          </cell>
          <cell r="G84">
            <v>206</v>
          </cell>
          <cell r="H84">
            <v>0.56818181818181801</v>
          </cell>
          <cell r="I84">
            <v>117.0454545454545</v>
          </cell>
          <cell r="J84">
            <v>66130.681818181794</v>
          </cell>
        </row>
        <row r="85">
          <cell r="D85">
            <v>2309</v>
          </cell>
          <cell r="E85" t="str">
            <v>Nook Lane Junior School</v>
          </cell>
          <cell r="G85">
            <v>252</v>
          </cell>
          <cell r="H85">
            <v>1.1904761904761901E-2</v>
          </cell>
          <cell r="I85">
            <v>2.9999999999999991</v>
          </cell>
          <cell r="J85">
            <v>1694.9999999999995</v>
          </cell>
        </row>
        <row r="86">
          <cell r="D86">
            <v>2051</v>
          </cell>
          <cell r="E86" t="str">
            <v>Norfolk Community Primary School</v>
          </cell>
          <cell r="G86">
            <v>388</v>
          </cell>
          <cell r="H86">
            <v>0.14589665653495401</v>
          </cell>
          <cell r="I86">
            <v>56.607902735562156</v>
          </cell>
          <cell r="J86">
            <v>31983.465045592617</v>
          </cell>
        </row>
        <row r="87">
          <cell r="D87">
            <v>3010</v>
          </cell>
          <cell r="E87" t="str">
            <v>Norton Free Church of England Primary School</v>
          </cell>
          <cell r="G87">
            <v>209</v>
          </cell>
          <cell r="H87">
            <v>0</v>
          </cell>
          <cell r="I87">
            <v>0</v>
          </cell>
          <cell r="J87">
            <v>0</v>
          </cell>
        </row>
        <row r="88">
          <cell r="D88">
            <v>2018</v>
          </cell>
          <cell r="E88" t="str">
            <v>Oasis Academy Fir Vale</v>
          </cell>
          <cell r="G88">
            <v>401</v>
          </cell>
          <cell r="H88">
            <v>0.57060518731988497</v>
          </cell>
          <cell r="I88">
            <v>228.81268011527388</v>
          </cell>
          <cell r="J88">
            <v>129279.16426512974</v>
          </cell>
        </row>
        <row r="89">
          <cell r="D89">
            <v>2019</v>
          </cell>
          <cell r="E89" t="str">
            <v>Oasis Academy Watermead</v>
          </cell>
          <cell r="G89">
            <v>377</v>
          </cell>
          <cell r="H89">
            <v>0.139240506329114</v>
          </cell>
          <cell r="I89">
            <v>52.493670886075975</v>
          </cell>
          <cell r="J89">
            <v>29658.924050632926</v>
          </cell>
        </row>
        <row r="90">
          <cell r="D90">
            <v>2313</v>
          </cell>
          <cell r="E90" t="str">
            <v>Oughtibridge Primary School</v>
          </cell>
          <cell r="G90">
            <v>416</v>
          </cell>
          <cell r="H90">
            <v>2.77008310249307E-3</v>
          </cell>
          <cell r="I90">
            <v>1.1523545706371172</v>
          </cell>
          <cell r="J90">
            <v>651.08033240997122</v>
          </cell>
        </row>
        <row r="91">
          <cell r="D91">
            <v>2093</v>
          </cell>
          <cell r="E91" t="str">
            <v>Owler Brook Primary School</v>
          </cell>
          <cell r="G91">
            <v>384</v>
          </cell>
          <cell r="H91">
            <v>0.42899408284023699</v>
          </cell>
          <cell r="I91">
            <v>164.733727810651</v>
          </cell>
          <cell r="J91">
            <v>93074.556213017815</v>
          </cell>
        </row>
        <row r="92">
          <cell r="D92">
            <v>3428</v>
          </cell>
          <cell r="E92" t="str">
            <v>Parson Cross Church of England Primary School</v>
          </cell>
          <cell r="G92">
            <v>201</v>
          </cell>
          <cell r="H92">
            <v>5.8479532163742704E-3</v>
          </cell>
          <cell r="I92">
            <v>1.1754385964912284</v>
          </cell>
          <cell r="J92">
            <v>664.12280701754401</v>
          </cell>
        </row>
        <row r="93">
          <cell r="D93">
            <v>2332</v>
          </cell>
          <cell r="E93" t="str">
            <v>Phillimore Community Primary School</v>
          </cell>
          <cell r="G93">
            <v>413</v>
          </cell>
          <cell r="H93">
            <v>0.42090395480226001</v>
          </cell>
          <cell r="I93">
            <v>173.83333333333337</v>
          </cell>
          <cell r="J93">
            <v>98215.833333333358</v>
          </cell>
        </row>
        <row r="94">
          <cell r="D94">
            <v>3433</v>
          </cell>
          <cell r="E94" t="str">
            <v>Pipworth Community Primary School</v>
          </cell>
          <cell r="G94">
            <v>410</v>
          </cell>
          <cell r="H94">
            <v>0.169491525423729</v>
          </cell>
          <cell r="I94">
            <v>69.491525423728888</v>
          </cell>
          <cell r="J94">
            <v>39262.711864406825</v>
          </cell>
        </row>
        <row r="95">
          <cell r="D95">
            <v>3427</v>
          </cell>
          <cell r="E95" t="str">
            <v>Porter Croft Church of England Primary Academy</v>
          </cell>
          <cell r="G95">
            <v>213</v>
          </cell>
          <cell r="H95">
            <v>0.337016574585635</v>
          </cell>
          <cell r="I95">
            <v>71.784530386740258</v>
          </cell>
          <cell r="J95">
            <v>40558.259668508246</v>
          </cell>
        </row>
        <row r="96">
          <cell r="D96">
            <v>2347</v>
          </cell>
          <cell r="E96" t="str">
            <v>Prince Edward Primary School</v>
          </cell>
          <cell r="G96">
            <v>411</v>
          </cell>
          <cell r="H96">
            <v>0.13390313390313399</v>
          </cell>
          <cell r="I96">
            <v>55.03418803418807</v>
          </cell>
          <cell r="J96">
            <v>31094.31623931626</v>
          </cell>
        </row>
        <row r="97">
          <cell r="D97">
            <v>2366</v>
          </cell>
          <cell r="E97" t="str">
            <v>Pye Bank CofE Primary School</v>
          </cell>
          <cell r="G97">
            <v>393</v>
          </cell>
          <cell r="H97">
            <v>0.41520467836257302</v>
          </cell>
          <cell r="I97">
            <v>163.1754385964912</v>
          </cell>
          <cell r="J97">
            <v>92194.122807017528</v>
          </cell>
        </row>
        <row r="98">
          <cell r="D98">
            <v>2363</v>
          </cell>
          <cell r="E98" t="str">
            <v>Rainbow Forge Primary Academy</v>
          </cell>
          <cell r="G98">
            <v>288</v>
          </cell>
          <cell r="H98">
            <v>3.9215686274509803E-2</v>
          </cell>
          <cell r="I98">
            <v>11.294117647058822</v>
          </cell>
          <cell r="J98">
            <v>6381.1764705882351</v>
          </cell>
        </row>
        <row r="99">
          <cell r="D99">
            <v>2334</v>
          </cell>
          <cell r="E99" t="str">
            <v>Reignhead Primary School</v>
          </cell>
          <cell r="G99">
            <v>264</v>
          </cell>
          <cell r="H99">
            <v>1.2552301255230099E-2</v>
          </cell>
          <cell r="I99">
            <v>3.3138075313807462</v>
          </cell>
          <cell r="J99">
            <v>1872.3012552301216</v>
          </cell>
        </row>
        <row r="100">
          <cell r="D100">
            <v>2338</v>
          </cell>
          <cell r="E100" t="str">
            <v>Rivelin Primary School</v>
          </cell>
          <cell r="G100">
            <v>318</v>
          </cell>
          <cell r="H100">
            <v>0.10357142857142899</v>
          </cell>
          <cell r="I100">
            <v>32.935714285714418</v>
          </cell>
          <cell r="J100">
            <v>18608.678571428645</v>
          </cell>
        </row>
        <row r="101">
          <cell r="D101">
            <v>2306</v>
          </cell>
          <cell r="E101" t="str">
            <v>Royd Nursery and Infant School</v>
          </cell>
          <cell r="G101">
            <v>130</v>
          </cell>
          <cell r="H101">
            <v>1.20481927710843E-2</v>
          </cell>
          <cell r="I101">
            <v>1.5662650602409589</v>
          </cell>
          <cell r="J101">
            <v>884.93975903614182</v>
          </cell>
        </row>
        <row r="102">
          <cell r="D102">
            <v>3401</v>
          </cell>
          <cell r="E102" t="str">
            <v>Sacred Heart School, A Catholic Voluntary Academy</v>
          </cell>
          <cell r="G102">
            <v>206</v>
          </cell>
          <cell r="H102">
            <v>0.11363636363636399</v>
          </cell>
          <cell r="I102">
            <v>23.409090909090981</v>
          </cell>
          <cell r="J102">
            <v>13226.136363636404</v>
          </cell>
        </row>
        <row r="103">
          <cell r="D103">
            <v>2369</v>
          </cell>
          <cell r="E103" t="str">
            <v>Sharrow Nursery, Infant and Junior School</v>
          </cell>
          <cell r="G103">
            <v>415</v>
          </cell>
          <cell r="H103">
            <v>0.41456582633053202</v>
          </cell>
          <cell r="I103">
            <v>172.04481792717078</v>
          </cell>
          <cell r="J103">
            <v>97205.322128851491</v>
          </cell>
        </row>
        <row r="104">
          <cell r="D104">
            <v>2349</v>
          </cell>
          <cell r="E104" t="str">
            <v>Shooter's Grove Primary School</v>
          </cell>
          <cell r="G104">
            <v>354</v>
          </cell>
          <cell r="H104">
            <v>3.8834951456310697E-2</v>
          </cell>
          <cell r="I104">
            <v>13.747572815533987</v>
          </cell>
          <cell r="J104">
            <v>7767.3786407767029</v>
          </cell>
        </row>
        <row r="105">
          <cell r="D105">
            <v>2360</v>
          </cell>
          <cell r="E105" t="str">
            <v>Shortbrook Primary School</v>
          </cell>
          <cell r="G105">
            <v>88</v>
          </cell>
          <cell r="H105">
            <v>2.7397260273972601E-2</v>
          </cell>
          <cell r="I105">
            <v>2.4109589041095889</v>
          </cell>
          <cell r="J105">
            <v>1362.1917808219177</v>
          </cell>
        </row>
        <row r="106">
          <cell r="D106">
            <v>2009</v>
          </cell>
          <cell r="E106" t="str">
            <v>Southey Green Primary School and Nurseries</v>
          </cell>
          <cell r="G106">
            <v>605</v>
          </cell>
          <cell r="H106">
            <v>8.3333333333333301E-2</v>
          </cell>
          <cell r="I106">
            <v>50.41666666666665</v>
          </cell>
          <cell r="J106">
            <v>28485.416666666657</v>
          </cell>
        </row>
        <row r="107">
          <cell r="D107">
            <v>2329</v>
          </cell>
          <cell r="E107" t="str">
            <v>Springfield Primary School</v>
          </cell>
          <cell r="G107">
            <v>209</v>
          </cell>
          <cell r="H107">
            <v>0.63483146067415697</v>
          </cell>
          <cell r="I107">
            <v>132.67977528089881</v>
          </cell>
          <cell r="J107">
            <v>74964.073033707828</v>
          </cell>
        </row>
        <row r="108">
          <cell r="D108">
            <v>5202</v>
          </cell>
          <cell r="E108" t="str">
            <v>St Ann's Catholic Primary School, A Voluntary Academy</v>
          </cell>
          <cell r="G108">
            <v>92</v>
          </cell>
          <cell r="H108">
            <v>0</v>
          </cell>
          <cell r="I108">
            <v>0</v>
          </cell>
          <cell r="J108">
            <v>0</v>
          </cell>
        </row>
        <row r="109">
          <cell r="D109">
            <v>3402</v>
          </cell>
          <cell r="E109" t="str">
            <v>St Catherine's Catholic Primary School (Hallam)</v>
          </cell>
          <cell r="G109">
            <v>422</v>
          </cell>
          <cell r="H109">
            <v>0.34530386740331498</v>
          </cell>
          <cell r="I109">
            <v>145.71823204419891</v>
          </cell>
          <cell r="J109">
            <v>82330.801104972386</v>
          </cell>
        </row>
        <row r="110">
          <cell r="D110">
            <v>2017</v>
          </cell>
          <cell r="E110" t="str">
            <v>St John Fisher Primary, A Catholic Voluntary Academy</v>
          </cell>
          <cell r="G110">
            <v>210</v>
          </cell>
          <cell r="H110">
            <v>5.9782608695652197E-2</v>
          </cell>
          <cell r="I110">
            <v>12.554347826086961</v>
          </cell>
          <cell r="J110">
            <v>7093.2065217391328</v>
          </cell>
        </row>
        <row r="111">
          <cell r="D111">
            <v>5203</v>
          </cell>
          <cell r="E111" t="str">
            <v>St Joseph's Primary School</v>
          </cell>
          <cell r="G111">
            <v>204</v>
          </cell>
          <cell r="H111">
            <v>0.14367816091954</v>
          </cell>
          <cell r="I111">
            <v>29.31034482758616</v>
          </cell>
          <cell r="J111">
            <v>16560.344827586181</v>
          </cell>
        </row>
        <row r="112">
          <cell r="D112">
            <v>3406</v>
          </cell>
          <cell r="E112" t="str">
            <v>St Marie's School, A Catholic Voluntary Academy</v>
          </cell>
          <cell r="G112">
            <v>217</v>
          </cell>
          <cell r="H112">
            <v>0.15508021390374299</v>
          </cell>
          <cell r="I112">
            <v>33.652406417112232</v>
          </cell>
          <cell r="J112">
            <v>19013.60962566841</v>
          </cell>
        </row>
        <row r="113">
          <cell r="D113">
            <v>2020</v>
          </cell>
          <cell r="E113" t="str">
            <v>St Mary's Church of England Primary School</v>
          </cell>
          <cell r="G113">
            <v>197</v>
          </cell>
          <cell r="H113">
            <v>0.269461077844311</v>
          </cell>
          <cell r="I113">
            <v>53.083832335329269</v>
          </cell>
          <cell r="J113">
            <v>29992.365269461035</v>
          </cell>
        </row>
        <row r="114">
          <cell r="D114">
            <v>3423</v>
          </cell>
          <cell r="E114" t="str">
            <v>St Mary's Primary School, A Catholic Voluntary Academy</v>
          </cell>
          <cell r="G114">
            <v>188</v>
          </cell>
          <cell r="H114">
            <v>1.21951219512195E-2</v>
          </cell>
          <cell r="I114">
            <v>2.2926829268292659</v>
          </cell>
          <cell r="J114">
            <v>1295.3658536585351</v>
          </cell>
        </row>
        <row r="115">
          <cell r="D115">
            <v>5207</v>
          </cell>
          <cell r="E115" t="str">
            <v>St Patrick's Catholic Voluntary Academy</v>
          </cell>
          <cell r="G115">
            <v>279</v>
          </cell>
          <cell r="H115">
            <v>0.20746887966805</v>
          </cell>
          <cell r="I115">
            <v>57.883817427385949</v>
          </cell>
          <cell r="J115">
            <v>32704.35684647306</v>
          </cell>
        </row>
        <row r="116">
          <cell r="D116">
            <v>5208</v>
          </cell>
          <cell r="E116" t="str">
            <v>St Theresa's Catholic Primary School</v>
          </cell>
          <cell r="G116">
            <v>207</v>
          </cell>
          <cell r="H116">
            <v>0.21468926553672299</v>
          </cell>
          <cell r="I116">
            <v>44.44067796610166</v>
          </cell>
          <cell r="J116">
            <v>25108.983050847437</v>
          </cell>
        </row>
        <row r="117">
          <cell r="D117">
            <v>3424</v>
          </cell>
          <cell r="E117" t="str">
            <v>St Thomas More Catholic Primary, A Voluntary Academy</v>
          </cell>
          <cell r="G117">
            <v>209</v>
          </cell>
          <cell r="H117">
            <v>7.8212290502793297E-2</v>
          </cell>
          <cell r="I117">
            <v>16.346368715083798</v>
          </cell>
          <cell r="J117">
            <v>9235.6983240223453</v>
          </cell>
        </row>
        <row r="118">
          <cell r="D118">
            <v>3414</v>
          </cell>
          <cell r="E118" t="str">
            <v>St Thomas of Canterbury School, a Catholic Voluntary Academy</v>
          </cell>
          <cell r="G118">
            <v>211</v>
          </cell>
          <cell r="H118">
            <v>5.5555555555555601E-2</v>
          </cell>
          <cell r="I118">
            <v>11.722222222222232</v>
          </cell>
          <cell r="J118">
            <v>6623.0555555555611</v>
          </cell>
        </row>
        <row r="119">
          <cell r="D119">
            <v>3412</v>
          </cell>
          <cell r="E119" t="str">
            <v>St Wilfrid's Catholic Primary School</v>
          </cell>
          <cell r="G119">
            <v>307</v>
          </cell>
          <cell r="H119">
            <v>3.0188679245282998E-2</v>
          </cell>
          <cell r="I119">
            <v>9.2679245283018812</v>
          </cell>
          <cell r="J119">
            <v>5236.377358490563</v>
          </cell>
        </row>
        <row r="120">
          <cell r="D120">
            <v>2294</v>
          </cell>
          <cell r="E120" t="str">
            <v>Stannington Infant School</v>
          </cell>
          <cell r="G120">
            <v>181</v>
          </cell>
          <cell r="H120">
            <v>8.2644628099173608E-3</v>
          </cell>
          <cell r="I120">
            <v>1.4958677685950423</v>
          </cell>
          <cell r="J120">
            <v>845.16528925619889</v>
          </cell>
        </row>
        <row r="121">
          <cell r="D121">
            <v>2303</v>
          </cell>
          <cell r="E121" t="str">
            <v>Stocksbridge Junior School</v>
          </cell>
          <cell r="G121">
            <v>308</v>
          </cell>
          <cell r="H121">
            <v>1.2987012987013E-2</v>
          </cell>
          <cell r="I121">
            <v>4.0000000000000044</v>
          </cell>
          <cell r="J121">
            <v>2260.0000000000027</v>
          </cell>
        </row>
        <row r="122">
          <cell r="D122">
            <v>2302</v>
          </cell>
          <cell r="E122" t="str">
            <v>Stocksbridge Nursery Infant School</v>
          </cell>
          <cell r="G122">
            <v>194</v>
          </cell>
          <cell r="H122">
            <v>8.4033613445378096E-3</v>
          </cell>
          <cell r="I122">
            <v>1.630252100840335</v>
          </cell>
          <cell r="J122">
            <v>921.09243697478928</v>
          </cell>
        </row>
        <row r="123">
          <cell r="D123">
            <v>2350</v>
          </cell>
          <cell r="E123" t="str">
            <v>Stradbroke Primary School</v>
          </cell>
          <cell r="G123">
            <v>412</v>
          </cell>
          <cell r="H123">
            <v>4.8158640226628899E-2</v>
          </cell>
          <cell r="I123">
            <v>19.841359773371106</v>
          </cell>
          <cell r="J123">
            <v>11210.368271954676</v>
          </cell>
        </row>
        <row r="124">
          <cell r="D124">
            <v>2230</v>
          </cell>
          <cell r="E124" t="str">
            <v>Tinsley Meadows Primary School</v>
          </cell>
          <cell r="G124">
            <v>543</v>
          </cell>
          <cell r="H124">
            <v>0.44753747323340498</v>
          </cell>
          <cell r="I124">
            <v>243.0128479657389</v>
          </cell>
          <cell r="J124">
            <v>137302.25910064249</v>
          </cell>
        </row>
        <row r="125">
          <cell r="D125">
            <v>5206</v>
          </cell>
          <cell r="E125" t="str">
            <v>Totley All Saints Church of England Voluntary Aided Primary School</v>
          </cell>
          <cell r="G125">
            <v>214</v>
          </cell>
          <cell r="H125">
            <v>4.3243243243243197E-2</v>
          </cell>
          <cell r="I125">
            <v>9.2540540540540448</v>
          </cell>
          <cell r="J125">
            <v>5228.5405405405354</v>
          </cell>
        </row>
        <row r="126">
          <cell r="D126">
            <v>2203</v>
          </cell>
          <cell r="E126" t="str">
            <v>Totley Primary School</v>
          </cell>
          <cell r="G126">
            <v>399</v>
          </cell>
          <cell r="H126">
            <v>6.5281899109792305E-2</v>
          </cell>
          <cell r="I126">
            <v>26.047477744807129</v>
          </cell>
          <cell r="J126">
            <v>14716.824925816029</v>
          </cell>
        </row>
        <row r="127">
          <cell r="D127">
            <v>2351</v>
          </cell>
          <cell r="E127" t="str">
            <v>Walkley Primary School</v>
          </cell>
          <cell r="G127">
            <v>345</v>
          </cell>
          <cell r="H127">
            <v>0.13240418118466901</v>
          </cell>
          <cell r="I127">
            <v>45.679442508710807</v>
          </cell>
          <cell r="J127">
            <v>25808.885017421606</v>
          </cell>
        </row>
        <row r="128">
          <cell r="D128">
            <v>3432</v>
          </cell>
          <cell r="E128" t="str">
            <v>Watercliffe Meadow Community Primary School</v>
          </cell>
          <cell r="G128">
            <v>407</v>
          </cell>
          <cell r="H128">
            <v>9.5100864553314096E-2</v>
          </cell>
          <cell r="I128">
            <v>38.706051873198838</v>
          </cell>
          <cell r="J128">
            <v>21868.919308357345</v>
          </cell>
        </row>
        <row r="129">
          <cell r="D129">
            <v>2319</v>
          </cell>
          <cell r="E129" t="str">
            <v>Waterthorpe Infant School</v>
          </cell>
          <cell r="G129">
            <v>124</v>
          </cell>
          <cell r="H129">
            <v>3.4883720930232599E-2</v>
          </cell>
          <cell r="I129">
            <v>4.3255813953488422</v>
          </cell>
          <cell r="J129">
            <v>2443.9534883720958</v>
          </cell>
        </row>
        <row r="130">
          <cell r="D130">
            <v>2352</v>
          </cell>
          <cell r="E130" t="str">
            <v>Westways Primary School</v>
          </cell>
          <cell r="G130">
            <v>572</v>
          </cell>
          <cell r="H130">
            <v>0.19222903885480599</v>
          </cell>
          <cell r="I130">
            <v>109.95501022494904</v>
          </cell>
          <cell r="J130">
            <v>62124.580777096206</v>
          </cell>
        </row>
        <row r="131">
          <cell r="D131">
            <v>2311</v>
          </cell>
          <cell r="E131" t="str">
            <v>Wharncliffe Side Primary School</v>
          </cell>
          <cell r="G131">
            <v>141</v>
          </cell>
          <cell r="H131">
            <v>8.0645161290322596E-3</v>
          </cell>
          <cell r="I131">
            <v>1.1370967741935487</v>
          </cell>
          <cell r="J131">
            <v>642.45967741935499</v>
          </cell>
        </row>
        <row r="132">
          <cell r="D132">
            <v>2040</v>
          </cell>
          <cell r="E132" t="str">
            <v>Whiteways Primary School</v>
          </cell>
          <cell r="G132">
            <v>408</v>
          </cell>
          <cell r="H132">
            <v>0.48199445983379502</v>
          </cell>
          <cell r="I132">
            <v>196.65373961218836</v>
          </cell>
          <cell r="J132">
            <v>111109.36288088643</v>
          </cell>
        </row>
        <row r="133">
          <cell r="D133">
            <v>2027</v>
          </cell>
          <cell r="E133" t="str">
            <v>Wincobank Nursery and Infant School</v>
          </cell>
          <cell r="G133">
            <v>122</v>
          </cell>
          <cell r="H133">
            <v>0.24691358024691401</v>
          </cell>
          <cell r="I133">
            <v>30.123456790123509</v>
          </cell>
          <cell r="J133">
            <v>17019.753086419783</v>
          </cell>
        </row>
        <row r="134">
          <cell r="D134">
            <v>2361</v>
          </cell>
          <cell r="E134" t="str">
            <v>Windmill Hill Primary School</v>
          </cell>
          <cell r="G134">
            <v>317</v>
          </cell>
          <cell r="H134">
            <v>6.9930069930069904E-3</v>
          </cell>
          <cell r="I134">
            <v>2.2167832167832158</v>
          </cell>
          <cell r="J134">
            <v>1252.4825174825169</v>
          </cell>
        </row>
        <row r="135">
          <cell r="D135">
            <v>2043</v>
          </cell>
          <cell r="E135" t="str">
            <v>Wisewood Community Primary School</v>
          </cell>
          <cell r="G135">
            <v>153</v>
          </cell>
          <cell r="H135">
            <v>6.01503759398496E-2</v>
          </cell>
          <cell r="I135">
            <v>9.2030075187969889</v>
          </cell>
          <cell r="J135">
            <v>5199.6992481202988</v>
          </cell>
        </row>
        <row r="136">
          <cell r="D136">
            <v>2139</v>
          </cell>
          <cell r="E136" t="str">
            <v>Woodhouse West Primary School</v>
          </cell>
          <cell r="G136">
            <v>343</v>
          </cell>
          <cell r="H136">
            <v>3.67892976588629E-2</v>
          </cell>
          <cell r="I136">
            <v>12.618729096989975</v>
          </cell>
          <cell r="J136">
            <v>7129.5819397993364</v>
          </cell>
        </row>
        <row r="137">
          <cell r="D137">
            <v>2034</v>
          </cell>
          <cell r="E137" t="str">
            <v>Woodlands Primary (Valley Park) Community School</v>
          </cell>
          <cell r="G137">
            <v>354</v>
          </cell>
          <cell r="H137">
            <v>8.0128205128205093E-2</v>
          </cell>
          <cell r="I137">
            <v>28.365384615384603</v>
          </cell>
          <cell r="J137">
            <v>16026.442307692301</v>
          </cell>
        </row>
        <row r="138">
          <cell r="D138">
            <v>2324</v>
          </cell>
          <cell r="E138" t="str">
            <v>Woodseats Primary School</v>
          </cell>
          <cell r="G138">
            <v>375</v>
          </cell>
          <cell r="H138">
            <v>9.1772151898734194E-2</v>
          </cell>
          <cell r="I138">
            <v>34.414556962025323</v>
          </cell>
          <cell r="J138">
            <v>19444.224683544307</v>
          </cell>
        </row>
        <row r="139">
          <cell r="D139">
            <v>2327</v>
          </cell>
          <cell r="E139" t="str">
            <v>Woodthorpe Primary School</v>
          </cell>
          <cell r="G139">
            <v>396</v>
          </cell>
          <cell r="H139">
            <v>5.53935860058309E-2</v>
          </cell>
          <cell r="I139">
            <v>21.935860058309036</v>
          </cell>
          <cell r="J139">
            <v>12393.760932944606</v>
          </cell>
        </row>
        <row r="140">
          <cell r="D140">
            <v>2321</v>
          </cell>
          <cell r="E140" t="str">
            <v>Wybourn Community Primary &amp; Nursery School</v>
          </cell>
          <cell r="G140">
            <v>413</v>
          </cell>
          <cell r="H140">
            <v>8.7818696883852701E-2</v>
          </cell>
          <cell r="I140">
            <v>36.269121813031163</v>
          </cell>
          <cell r="J140">
            <v>20492.053824362607</v>
          </cell>
        </row>
        <row r="142">
          <cell r="E142" t="str">
            <v>Total Primary</v>
          </cell>
          <cell r="G142">
            <v>43067</v>
          </cell>
          <cell r="H142">
            <v>0.12836941116329725</v>
          </cell>
          <cell r="I142">
            <v>5528.4854305697227</v>
          </cell>
          <cell r="J142">
            <v>3123594.2682718928</v>
          </cell>
        </row>
        <row r="144">
          <cell r="E144" t="str">
            <v>Secondary</v>
          </cell>
        </row>
        <row r="145">
          <cell r="H145">
            <v>48</v>
          </cell>
        </row>
        <row r="146">
          <cell r="D146">
            <v>5401</v>
          </cell>
          <cell r="E146" t="str">
            <v>All Saints' Catholic High School</v>
          </cell>
          <cell r="G146">
            <v>1023</v>
          </cell>
          <cell r="H146">
            <v>1.6634050880626201E-2</v>
          </cell>
          <cell r="I146">
            <v>17.016634050880604</v>
          </cell>
          <cell r="J146">
            <v>26035.450097847326</v>
          </cell>
        </row>
        <row r="147">
          <cell r="D147">
            <v>4017</v>
          </cell>
          <cell r="E147" t="str">
            <v>Bradfield School</v>
          </cell>
          <cell r="G147">
            <v>1081</v>
          </cell>
          <cell r="H147">
            <v>8.3487940630797806E-3</v>
          </cell>
          <cell r="I147">
            <v>9.0250463821892435</v>
          </cell>
          <cell r="J147">
            <v>13808.320964749542</v>
          </cell>
        </row>
        <row r="148">
          <cell r="D148">
            <v>4000</v>
          </cell>
          <cell r="E148" t="str">
            <v>Chaucer School</v>
          </cell>
          <cell r="G148">
            <v>820</v>
          </cell>
          <cell r="H148">
            <v>2.5641025641025599E-2</v>
          </cell>
          <cell r="I148">
            <v>21.02564102564099</v>
          </cell>
          <cell r="J148">
            <v>32169.230769230715</v>
          </cell>
        </row>
        <row r="149">
          <cell r="D149">
            <v>4012</v>
          </cell>
          <cell r="E149" t="str">
            <v>Ecclesfield School</v>
          </cell>
          <cell r="G149">
            <v>1676</v>
          </cell>
          <cell r="H149">
            <v>3.5799522673031002E-3</v>
          </cell>
          <cell r="I149">
            <v>5.9999999999999956</v>
          </cell>
          <cell r="J149">
            <v>9179.9999999999927</v>
          </cell>
        </row>
        <row r="150">
          <cell r="D150">
            <v>4280</v>
          </cell>
          <cell r="E150" t="str">
            <v>Fir Vale School</v>
          </cell>
          <cell r="G150">
            <v>986</v>
          </cell>
          <cell r="H150">
            <v>0.13278855975485199</v>
          </cell>
          <cell r="I150">
            <v>130.92951991828406</v>
          </cell>
          <cell r="J150">
            <v>200322.16547497461</v>
          </cell>
        </row>
        <row r="151">
          <cell r="D151">
            <v>4003</v>
          </cell>
          <cell r="E151" t="str">
            <v>Firth Park Academy</v>
          </cell>
          <cell r="G151">
            <v>1142</v>
          </cell>
          <cell r="H151">
            <v>6.9298245614035095E-2</v>
          </cell>
          <cell r="I151">
            <v>79.138596491228085</v>
          </cell>
          <cell r="J151">
            <v>121082.05263157898</v>
          </cell>
        </row>
        <row r="152">
          <cell r="D152">
            <v>4007</v>
          </cell>
          <cell r="E152" t="str">
            <v>Forge Valley School</v>
          </cell>
          <cell r="G152">
            <v>1210</v>
          </cell>
          <cell r="H152">
            <v>1.2396694214876E-2</v>
          </cell>
          <cell r="I152">
            <v>14.999999999999961</v>
          </cell>
          <cell r="J152">
            <v>22949.999999999942</v>
          </cell>
        </row>
        <row r="153">
          <cell r="D153">
            <v>4278</v>
          </cell>
          <cell r="E153" t="str">
            <v>Handsworth Grange Community Sports College</v>
          </cell>
          <cell r="G153">
            <v>1015</v>
          </cell>
          <cell r="H153">
            <v>1.6748768472906399E-2</v>
          </cell>
          <cell r="I153">
            <v>16.999999999999996</v>
          </cell>
          <cell r="J153">
            <v>26009.999999999996</v>
          </cell>
        </row>
        <row r="154">
          <cell r="D154">
            <v>4257</v>
          </cell>
          <cell r="E154" t="str">
            <v>High Storrs School</v>
          </cell>
          <cell r="G154">
            <v>1206</v>
          </cell>
          <cell r="H154">
            <v>8.3263946711074101E-3</v>
          </cell>
          <cell r="I154">
            <v>10.041631973355537</v>
          </cell>
          <cell r="J154">
            <v>15363.696919233971</v>
          </cell>
        </row>
        <row r="155">
          <cell r="D155">
            <v>4230</v>
          </cell>
          <cell r="E155" t="str">
            <v>King Ecgbert School</v>
          </cell>
          <cell r="G155">
            <v>1034</v>
          </cell>
          <cell r="H155">
            <v>4.8590864917395504E-3</v>
          </cell>
          <cell r="I155">
            <v>5.024295432458695</v>
          </cell>
          <cell r="J155">
            <v>7687.1720116618035</v>
          </cell>
        </row>
        <row r="156">
          <cell r="D156">
            <v>4259</v>
          </cell>
          <cell r="E156" t="str">
            <v>King Edward VII School</v>
          </cell>
          <cell r="G156">
            <v>1135</v>
          </cell>
          <cell r="H156">
            <v>5.4625550660792999E-2</v>
          </cell>
          <cell r="I156">
            <v>62.000000000000057</v>
          </cell>
          <cell r="J156">
            <v>94860.000000000087</v>
          </cell>
        </row>
        <row r="157">
          <cell r="D157">
            <v>4279</v>
          </cell>
          <cell r="E157" t="str">
            <v>Meadowhead School Academy Trust</v>
          </cell>
          <cell r="G157">
            <v>1623</v>
          </cell>
          <cell r="H157">
            <v>1.6635859519408502E-2</v>
          </cell>
          <cell r="I157">
            <v>27</v>
          </cell>
          <cell r="J157">
            <v>41310</v>
          </cell>
        </row>
        <row r="158">
          <cell r="D158">
            <v>4015</v>
          </cell>
          <cell r="E158" t="str">
            <v>Mercia School</v>
          </cell>
          <cell r="G158">
            <v>716</v>
          </cell>
          <cell r="H158">
            <v>1.4729950900163701E-2</v>
          </cell>
          <cell r="I158">
            <v>10.546644844517211</v>
          </cell>
          <cell r="J158">
            <v>16136.366612111333</v>
          </cell>
        </row>
        <row r="159">
          <cell r="D159">
            <v>4008</v>
          </cell>
          <cell r="E159" t="str">
            <v>Newfield Secondary School</v>
          </cell>
          <cell r="G159">
            <v>1032</v>
          </cell>
          <cell r="H159">
            <v>9.7181729834791095E-3</v>
          </cell>
          <cell r="I159">
            <v>10.029154518950442</v>
          </cell>
          <cell r="J159">
            <v>15344.606413994175</v>
          </cell>
        </row>
        <row r="160">
          <cell r="D160">
            <v>5400</v>
          </cell>
          <cell r="E160" t="str">
            <v>Notre Dame High School</v>
          </cell>
          <cell r="G160">
            <v>1066</v>
          </cell>
          <cell r="H160">
            <v>4.8030739673391E-3</v>
          </cell>
          <cell r="I160">
            <v>5.1200768491834809</v>
          </cell>
          <cell r="J160">
            <v>7833.717579250726</v>
          </cell>
        </row>
        <row r="161">
          <cell r="D161">
            <v>4006</v>
          </cell>
          <cell r="E161" t="str">
            <v>Outwood Academy City</v>
          </cell>
          <cell r="G161">
            <v>1128</v>
          </cell>
          <cell r="H161">
            <v>1.24444444444444E-2</v>
          </cell>
          <cell r="I161">
            <v>14.037333333333283</v>
          </cell>
          <cell r="J161">
            <v>21477.119999999923</v>
          </cell>
        </row>
        <row r="162">
          <cell r="D162">
            <v>6907</v>
          </cell>
          <cell r="E162" t="str">
            <v>Parkwood E-Act Academy</v>
          </cell>
          <cell r="G162">
            <v>806</v>
          </cell>
          <cell r="H162">
            <v>9.2154420921544203E-2</v>
          </cell>
          <cell r="I162">
            <v>74.276463262764622</v>
          </cell>
          <cell r="J162">
            <v>113642.98879202988</v>
          </cell>
        </row>
        <row r="163">
          <cell r="D163">
            <v>6905</v>
          </cell>
          <cell r="E163" t="str">
            <v>Sheffield Park Academy</v>
          </cell>
          <cell r="G163">
            <v>1010</v>
          </cell>
          <cell r="H163">
            <v>2.88557213930348E-2</v>
          </cell>
          <cell r="I163">
            <v>29.144278606965148</v>
          </cell>
          <cell r="J163">
            <v>44590.74626865668</v>
          </cell>
        </row>
        <row r="164">
          <cell r="D164">
            <v>6906</v>
          </cell>
          <cell r="E164" t="str">
            <v>Sheffield Springs Academy</v>
          </cell>
          <cell r="G164">
            <v>939</v>
          </cell>
          <cell r="H164">
            <v>8.4324324324324296E-2</v>
          </cell>
          <cell r="I164">
            <v>79.18054054054052</v>
          </cell>
          <cell r="J164">
            <v>121146.22702702699</v>
          </cell>
        </row>
        <row r="165">
          <cell r="D165">
            <v>4229</v>
          </cell>
          <cell r="E165" t="str">
            <v>Silverdale School</v>
          </cell>
          <cell r="G165">
            <v>1015</v>
          </cell>
          <cell r="H165">
            <v>1.2244897959183701E-2</v>
          </cell>
          <cell r="I165">
            <v>12.428571428571455</v>
          </cell>
          <cell r="J165">
            <v>19015.714285714326</v>
          </cell>
        </row>
        <row r="166">
          <cell r="D166">
            <v>4271</v>
          </cell>
          <cell r="E166" t="str">
            <v>Stocksbridge High School</v>
          </cell>
          <cell r="G166">
            <v>798</v>
          </cell>
          <cell r="H166">
            <v>1.2531328320802E-3</v>
          </cell>
          <cell r="I166">
            <v>0.99999999999999956</v>
          </cell>
          <cell r="J166">
            <v>1529.9999999999993</v>
          </cell>
        </row>
        <row r="167">
          <cell r="D167">
            <v>4234</v>
          </cell>
          <cell r="E167" t="str">
            <v>Tapton School</v>
          </cell>
          <cell r="G167">
            <v>1354</v>
          </cell>
          <cell r="H167">
            <v>2.5945144551519601E-2</v>
          </cell>
          <cell r="I167">
            <v>35.129725722757541</v>
          </cell>
          <cell r="J167">
            <v>53748.48035581904</v>
          </cell>
        </row>
        <row r="168">
          <cell r="D168">
            <v>4276</v>
          </cell>
          <cell r="E168" t="str">
            <v>The Birley Academy</v>
          </cell>
          <cell r="G168">
            <v>1074</v>
          </cell>
          <cell r="H168">
            <v>1.02420856610801E-2</v>
          </cell>
          <cell r="I168">
            <v>11.000000000000027</v>
          </cell>
          <cell r="J168">
            <v>16830.00000000004</v>
          </cell>
        </row>
        <row r="169">
          <cell r="D169">
            <v>4004</v>
          </cell>
          <cell r="E169" t="str">
            <v>UTC Sheffield City Centre</v>
          </cell>
          <cell r="G169">
            <v>313</v>
          </cell>
          <cell r="H169">
            <v>1.0714285714285701E-2</v>
          </cell>
          <cell r="I169">
            <v>3.3535714285714242</v>
          </cell>
          <cell r="J169">
            <v>5130.964285714279</v>
          </cell>
        </row>
        <row r="170">
          <cell r="D170">
            <v>4010</v>
          </cell>
          <cell r="E170" t="str">
            <v>UTC Sheffield Olympic Legacy Park</v>
          </cell>
          <cell r="G170">
            <v>302</v>
          </cell>
          <cell r="H170">
            <v>3.0716723549488099E-2</v>
          </cell>
          <cell r="I170">
            <v>9.2764505119454057</v>
          </cell>
          <cell r="J170">
            <v>14192.96928327647</v>
          </cell>
        </row>
        <row r="171">
          <cell r="D171">
            <v>4013</v>
          </cell>
          <cell r="E171" t="str">
            <v>Westfield School</v>
          </cell>
          <cell r="G171">
            <v>1191</v>
          </cell>
          <cell r="H171">
            <v>1.68208578637511E-3</v>
          </cell>
          <cell r="I171">
            <v>2.0033641715727559</v>
          </cell>
          <cell r="J171">
            <v>3065.1471825063168</v>
          </cell>
        </row>
        <row r="172">
          <cell r="D172">
            <v>4016</v>
          </cell>
          <cell r="E172" t="str">
            <v>Yewlands Academy</v>
          </cell>
          <cell r="G172">
            <v>876</v>
          </cell>
          <cell r="H172">
            <v>2.2883295194508001E-3</v>
          </cell>
          <cell r="I172">
            <v>2.0045766590389009</v>
          </cell>
          <cell r="J172">
            <v>3067.0022883295183</v>
          </cell>
        </row>
        <row r="174">
          <cell r="E174" t="str">
            <v>Total Secondary</v>
          </cell>
          <cell r="G174">
            <v>27571</v>
          </cell>
          <cell r="H174">
            <v>2.530673958698449E-2</v>
          </cell>
          <cell r="I174">
            <v>697.73211715274942</v>
          </cell>
          <cell r="J174">
            <v>1067530.1392437064</v>
          </cell>
        </row>
        <row r="176">
          <cell r="E176" t="str">
            <v>Middle Deemed Secondary</v>
          </cell>
        </row>
        <row r="178">
          <cell r="D178">
            <v>4014</v>
          </cell>
          <cell r="E178" t="str">
            <v>Astrea Academy Sheffield</v>
          </cell>
          <cell r="G178">
            <v>891.5</v>
          </cell>
          <cell r="H178">
            <v>0.17107284537027162</v>
          </cell>
          <cell r="I178">
            <v>152.51144164759714</v>
          </cell>
          <cell r="J178">
            <v>128817.76887871843</v>
          </cell>
        </row>
        <row r="179">
          <cell r="D179">
            <v>4225</v>
          </cell>
          <cell r="E179" t="str">
            <v>Hinde House 3-16 School</v>
          </cell>
          <cell r="G179">
            <v>1282</v>
          </cell>
          <cell r="H179">
            <v>8.9204658807369205E-2</v>
          </cell>
          <cell r="I179">
            <v>114.36037259104732</v>
          </cell>
          <cell r="J179">
            <v>97500.53900163222</v>
          </cell>
        </row>
        <row r="180">
          <cell r="D180">
            <v>4005</v>
          </cell>
          <cell r="E180" t="str">
            <v>Oasis Academy Don Valley</v>
          </cell>
          <cell r="G180">
            <v>997.75</v>
          </cell>
          <cell r="H180">
            <v>9.4948065663079367E-2</v>
          </cell>
          <cell r="I180">
            <v>94.734432515337446</v>
          </cell>
          <cell r="J180">
            <v>84401.99424846629</v>
          </cell>
        </row>
        <row r="182">
          <cell r="E182" t="str">
            <v>Total Middle Deemed Secondary</v>
          </cell>
          <cell r="G182">
            <v>3171.25</v>
          </cell>
          <cell r="H182">
            <v>0.1140264081210822</v>
          </cell>
          <cell r="I182">
            <v>361.60624675398191</v>
          </cell>
          <cell r="J182">
            <v>310720.30212881695</v>
          </cell>
        </row>
        <row r="184">
          <cell r="E184" t="str">
            <v>Total All Schools</v>
          </cell>
          <cell r="G184">
            <v>73809.25</v>
          </cell>
          <cell r="H184">
            <v>8.9254717999118729E-2</v>
          </cell>
          <cell r="I184">
            <v>6587.8237944764542</v>
          </cell>
          <cell r="J184">
            <v>4501844.7096444163</v>
          </cell>
        </row>
        <row r="185">
          <cell r="G185">
            <v>0</v>
          </cell>
          <cell r="J185">
            <v>0</v>
          </cell>
        </row>
        <row r="187">
          <cell r="D187">
            <v>4014</v>
          </cell>
          <cell r="E187" t="str">
            <v>Astrea Academy - Pri</v>
          </cell>
          <cell r="G187">
            <v>196</v>
          </cell>
          <cell r="H187">
            <v>0.55263157894736803</v>
          </cell>
          <cell r="I187">
            <v>108.31578947368413</v>
          </cell>
          <cell r="J187">
            <v>61198.421052631536</v>
          </cell>
        </row>
        <row r="188">
          <cell r="D188">
            <v>4014</v>
          </cell>
          <cell r="E188" t="str">
            <v>Astrea Academy - Sec</v>
          </cell>
          <cell r="G188">
            <v>695.5</v>
          </cell>
          <cell r="H188">
            <v>6.3545150501672198E-2</v>
          </cell>
          <cell r="I188">
            <v>44.195652173913011</v>
          </cell>
          <cell r="J188">
            <v>67619.347826086901</v>
          </cell>
        </row>
        <row r="189">
          <cell r="G189">
            <v>891.5</v>
          </cell>
          <cell r="H189">
            <v>0.17107284537027162</v>
          </cell>
          <cell r="I189">
            <v>152.51144164759714</v>
          </cell>
          <cell r="J189">
            <v>128817.76887871843</v>
          </cell>
        </row>
        <row r="191">
          <cell r="D191">
            <v>4225</v>
          </cell>
          <cell r="E191" t="str">
            <v>Hinde House 3-16 - Pri</v>
          </cell>
          <cell r="G191">
            <v>427</v>
          </cell>
          <cell r="H191">
            <v>0.188010899182561</v>
          </cell>
          <cell r="I191">
            <v>80.28065395095355</v>
          </cell>
          <cell r="J191">
            <v>45358.569482288753</v>
          </cell>
        </row>
        <row r="192">
          <cell r="D192">
            <v>4225</v>
          </cell>
          <cell r="E192" t="str">
            <v>Hinde House 3-16 - Sec</v>
          </cell>
          <cell r="G192">
            <v>855</v>
          </cell>
          <cell r="H192">
            <v>3.9859320046893298E-2</v>
          </cell>
          <cell r="I192">
            <v>34.079718640093773</v>
          </cell>
          <cell r="J192">
            <v>52141.969519343475</v>
          </cell>
        </row>
        <row r="193">
          <cell r="E193" t="e">
            <v>#REF!</v>
          </cell>
          <cell r="G193">
            <v>1282</v>
          </cell>
          <cell r="H193">
            <v>8.9204658807369205E-2</v>
          </cell>
          <cell r="I193">
            <v>114.36037259104732</v>
          </cell>
          <cell r="J193">
            <v>97500.53900163222</v>
          </cell>
        </row>
        <row r="195">
          <cell r="D195">
            <v>4005</v>
          </cell>
          <cell r="E195" t="str">
            <v>Oasis Academy Don Valley - Pri</v>
          </cell>
          <cell r="G195">
            <v>418.25</v>
          </cell>
          <cell r="H195">
            <v>0.15</v>
          </cell>
          <cell r="I195">
            <v>62.737499999999997</v>
          </cell>
          <cell r="J195">
            <v>35446.6875</v>
          </cell>
        </row>
        <row r="196">
          <cell r="D196">
            <v>4005</v>
          </cell>
          <cell r="E196" t="str">
            <v>Oasis Academy Don Valley - Sec</v>
          </cell>
          <cell r="G196">
            <v>579.5</v>
          </cell>
          <cell r="H196">
            <v>5.5214723926380403E-2</v>
          </cell>
          <cell r="I196">
            <v>31.996932515337445</v>
          </cell>
          <cell r="J196">
            <v>48955.30674846629</v>
          </cell>
        </row>
        <row r="197">
          <cell r="G197">
            <v>997.75</v>
          </cell>
          <cell r="H197">
            <v>9.4948065663079367E-2</v>
          </cell>
          <cell r="I197">
            <v>94.734432515337446</v>
          </cell>
          <cell r="J197">
            <v>84401.99424846629</v>
          </cell>
        </row>
        <row r="199">
          <cell r="G199" t="str">
            <v>Primary</v>
          </cell>
          <cell r="H199">
            <v>565</v>
          </cell>
          <cell r="I199">
            <v>5779.8193739943608</v>
          </cell>
          <cell r="J199">
            <v>3265597.946306814</v>
          </cell>
        </row>
        <row r="200">
          <cell r="G200" t="str">
            <v>Secondary</v>
          </cell>
          <cell r="H200">
            <v>1530</v>
          </cell>
          <cell r="I200">
            <v>808.00442048209368</v>
          </cell>
          <cell r="J200">
            <v>1236246.7633376033</v>
          </cell>
        </row>
        <row r="201">
          <cell r="I201">
            <v>6587.8237944764542</v>
          </cell>
          <cell r="J201">
            <v>4501844.7096444173</v>
          </cell>
        </row>
        <row r="202">
          <cell r="J202">
            <v>0</v>
          </cell>
        </row>
      </sheetData>
      <sheetData sheetId="24">
        <row r="1">
          <cell r="D1" t="str">
            <v>Mobility Funding</v>
          </cell>
          <cell r="F1" t="e">
            <v>#REF!</v>
          </cell>
          <cell r="G1" t="str">
            <v>2022-23</v>
          </cell>
        </row>
        <row r="2">
          <cell r="D2" t="str">
            <v xml:space="preserve">First entry for the pupil at the school, or any predecessor school where appropriate, </v>
          </cell>
          <cell r="M2" t="str">
            <v>£/pupil</v>
          </cell>
          <cell r="N2" t="str">
            <v>Funding £</v>
          </cell>
        </row>
        <row r="3">
          <cell r="D3" t="str">
            <v>was in last three academic years; separate primary/secondary.</v>
          </cell>
          <cell r="I3">
            <v>2.7086350974930262</v>
          </cell>
          <cell r="K3" t="str">
            <v>Primary</v>
          </cell>
          <cell r="M3">
            <v>925</v>
          </cell>
          <cell r="N3">
            <v>436629.16036047082</v>
          </cell>
        </row>
        <row r="4">
          <cell r="D4" t="str">
            <v>Autumn (October) 2019 census, plus January, May or October 2017 and 2018 or October 2016 censuses.</v>
          </cell>
          <cell r="K4" t="str">
            <v>Secondary</v>
          </cell>
          <cell r="M4">
            <v>1330</v>
          </cell>
          <cell r="N4">
            <v>137440.61496966804</v>
          </cell>
        </row>
        <row r="5">
          <cell r="D5" t="str">
            <v>Mapping on UPN for the school or its predecessors for on-roll records.</v>
          </cell>
          <cell r="N5">
            <v>574069.77533013886</v>
          </cell>
        </row>
        <row r="6">
          <cell r="D6" t="str">
            <v>DfE</v>
          </cell>
          <cell r="E6" t="str">
            <v>School</v>
          </cell>
          <cell r="G6" t="str">
            <v>Pupils</v>
          </cell>
          <cell r="H6" t="str">
            <v>2021-22 % Mobility</v>
          </cell>
          <cell r="I6" t="str">
            <v>Pupils Affected by Mobility 2021-22</v>
          </cell>
          <cell r="J6" t="str">
            <v>Pupils Affected by Mobility 2022-23</v>
          </cell>
          <cell r="K6" t="str">
            <v>% Pupils Affected by Mobility 2022-23</v>
          </cell>
          <cell r="L6" t="str">
            <v>2022-23 % Mob as % of 2021-22 % Mob</v>
          </cell>
          <cell r="M6" t="str">
            <v>% Funded (above 6% threshold)</v>
          </cell>
          <cell r="N6" t="str">
            <v>Allocation (above 6% or more pupils affected by Mobility)</v>
          </cell>
        </row>
        <row r="7">
          <cell r="K7">
            <v>56</v>
          </cell>
          <cell r="M7">
            <v>0.06</v>
          </cell>
        </row>
        <row r="8">
          <cell r="D8">
            <v>2001</v>
          </cell>
          <cell r="E8" t="str">
            <v>Abbey Lane Primary School</v>
          </cell>
          <cell r="G8">
            <v>557</v>
          </cell>
          <cell r="H8">
            <v>2.38907849829352E-2</v>
          </cell>
          <cell r="I8">
            <v>0</v>
          </cell>
          <cell r="J8">
            <v>0</v>
          </cell>
          <cell r="K8">
            <v>3.2315978456014402E-2</v>
          </cell>
          <cell r="L8">
            <v>1.3526545268017431</v>
          </cell>
          <cell r="M8">
            <v>0</v>
          </cell>
          <cell r="N8">
            <v>0</v>
          </cell>
        </row>
        <row r="9">
          <cell r="D9">
            <v>2046</v>
          </cell>
          <cell r="E9" t="str">
            <v>Abbeyfield Primary Academy</v>
          </cell>
          <cell r="G9">
            <v>354</v>
          </cell>
          <cell r="H9">
            <v>7.2776280323450099E-2</v>
          </cell>
          <cell r="I9">
            <v>4.7399999999999878</v>
          </cell>
          <cell r="J9">
            <v>27.759999999999934</v>
          </cell>
          <cell r="K9">
            <v>0.138418079096045</v>
          </cell>
          <cell r="L9">
            <v>1.9019669386901008</v>
          </cell>
          <cell r="M9">
            <v>7.8418079096045007E-2</v>
          </cell>
          <cell r="N9">
            <v>25677.999999999938</v>
          </cell>
        </row>
        <row r="10">
          <cell r="D10">
            <v>2048</v>
          </cell>
          <cell r="E10" t="str">
            <v>Acres Hill Community Primary School</v>
          </cell>
          <cell r="G10">
            <v>194</v>
          </cell>
          <cell r="H10">
            <v>0.103960396039604</v>
          </cell>
          <cell r="I10">
            <v>8.8800000000000079</v>
          </cell>
          <cell r="J10">
            <v>8.3600000000000687</v>
          </cell>
          <cell r="K10">
            <v>0.10309278350515499</v>
          </cell>
          <cell r="L10">
            <v>0.99165439371625241</v>
          </cell>
          <cell r="M10">
            <v>4.3092783505154997E-2</v>
          </cell>
          <cell r="N10">
            <v>7733.0000000000637</v>
          </cell>
        </row>
        <row r="11">
          <cell r="D11">
            <v>2342</v>
          </cell>
          <cell r="E11" t="str">
            <v>Angram Bank Primary School</v>
          </cell>
          <cell r="G11">
            <v>195</v>
          </cell>
          <cell r="H11">
            <v>2.02020202020202E-2</v>
          </cell>
          <cell r="I11">
            <v>0</v>
          </cell>
          <cell r="J11">
            <v>0</v>
          </cell>
          <cell r="K11">
            <v>3.0769230769230799E-2</v>
          </cell>
          <cell r="L11">
            <v>1.5230769230769248</v>
          </cell>
          <cell r="M11">
            <v>0</v>
          </cell>
          <cell r="N11">
            <v>0</v>
          </cell>
        </row>
        <row r="12">
          <cell r="D12">
            <v>2343</v>
          </cell>
          <cell r="E12" t="str">
            <v>Anns Grove Primary School</v>
          </cell>
          <cell r="G12">
            <v>324</v>
          </cell>
          <cell r="H12">
            <v>1.6666666666666701E-2</v>
          </cell>
          <cell r="I12">
            <v>0</v>
          </cell>
          <cell r="J12">
            <v>0</v>
          </cell>
          <cell r="K12">
            <v>3.7037037037037E-2</v>
          </cell>
          <cell r="L12">
            <v>2.2222222222222152</v>
          </cell>
          <cell r="M12">
            <v>0</v>
          </cell>
          <cell r="N12">
            <v>0</v>
          </cell>
        </row>
        <row r="13">
          <cell r="D13">
            <v>3429</v>
          </cell>
          <cell r="E13" t="str">
            <v>Arbourthorne Community Primary School</v>
          </cell>
          <cell r="G13">
            <v>403</v>
          </cell>
          <cell r="H13">
            <v>6.0301507537688398E-2</v>
          </cell>
          <cell r="I13">
            <v>0.11999999999998329</v>
          </cell>
          <cell r="J13">
            <v>2.8199999999999874</v>
          </cell>
          <cell r="K13">
            <v>6.6997518610421802E-2</v>
          </cell>
          <cell r="L13">
            <v>1.111042183622829</v>
          </cell>
          <cell r="M13">
            <v>6.9975186104218046E-3</v>
          </cell>
          <cell r="N13">
            <v>2608.4999999999882</v>
          </cell>
        </row>
        <row r="14">
          <cell r="D14">
            <v>2340</v>
          </cell>
          <cell r="E14" t="str">
            <v>Athelstan Primary School</v>
          </cell>
          <cell r="G14">
            <v>615</v>
          </cell>
          <cell r="H14">
            <v>4.4334975369458102E-2</v>
          </cell>
          <cell r="I14">
            <v>0</v>
          </cell>
          <cell r="J14">
            <v>0</v>
          </cell>
          <cell r="K14">
            <v>5.5284552845528502E-2</v>
          </cell>
          <cell r="L14">
            <v>1.2469738030713657</v>
          </cell>
          <cell r="M14">
            <v>0</v>
          </cell>
          <cell r="N14">
            <v>0</v>
          </cell>
        </row>
        <row r="15">
          <cell r="D15">
            <v>2281</v>
          </cell>
          <cell r="E15" t="str">
            <v>Ballifield Primary School</v>
          </cell>
          <cell r="G15">
            <v>415</v>
          </cell>
          <cell r="H15">
            <v>2.6315789473684199E-2</v>
          </cell>
          <cell r="I15">
            <v>0</v>
          </cell>
          <cell r="J15">
            <v>0</v>
          </cell>
          <cell r="K15">
            <v>2.89156626506024E-2</v>
          </cell>
          <cell r="L15">
            <v>1.0987951807228917</v>
          </cell>
          <cell r="M15">
            <v>0</v>
          </cell>
          <cell r="N15">
            <v>0</v>
          </cell>
        </row>
        <row r="16">
          <cell r="D16">
            <v>2322</v>
          </cell>
          <cell r="E16" t="str">
            <v>Bankwood Community Primary School</v>
          </cell>
          <cell r="G16">
            <v>363</v>
          </cell>
          <cell r="H16">
            <v>8.6956521739130405E-2</v>
          </cell>
          <cell r="I16">
            <v>9.2999999999999901</v>
          </cell>
          <cell r="J16">
            <v>8.2200000000000166</v>
          </cell>
          <cell r="K16">
            <v>8.2644628099173598E-2</v>
          </cell>
          <cell r="L16">
            <v>0.9504132231404967</v>
          </cell>
          <cell r="M16">
            <v>2.26446280991736E-2</v>
          </cell>
          <cell r="N16">
            <v>7603.5000000000155</v>
          </cell>
        </row>
        <row r="17">
          <cell r="D17">
            <v>2274</v>
          </cell>
          <cell r="E17" t="str">
            <v>Beck Primary School</v>
          </cell>
          <cell r="G17">
            <v>610</v>
          </cell>
          <cell r="H17">
            <v>2.8708133971291901E-2</v>
          </cell>
          <cell r="I17">
            <v>0</v>
          </cell>
          <cell r="J17">
            <v>0</v>
          </cell>
          <cell r="K17">
            <v>3.6184210526315798E-2</v>
          </cell>
          <cell r="L17">
            <v>1.2604166666666654</v>
          </cell>
          <cell r="M17">
            <v>0</v>
          </cell>
          <cell r="N17">
            <v>0</v>
          </cell>
        </row>
        <row r="18">
          <cell r="D18">
            <v>2241</v>
          </cell>
          <cell r="E18" t="str">
            <v>Beighton Nursery Infant School</v>
          </cell>
          <cell r="G18">
            <v>249</v>
          </cell>
          <cell r="H18">
            <v>0</v>
          </cell>
          <cell r="I18">
            <v>0</v>
          </cell>
          <cell r="J18">
            <v>0</v>
          </cell>
          <cell r="K18">
            <v>8.0321285140562207E-3</v>
          </cell>
          <cell r="L18" t="e">
            <v>#DIV/0!</v>
          </cell>
          <cell r="M18">
            <v>0</v>
          </cell>
          <cell r="N18">
            <v>0</v>
          </cell>
        </row>
        <row r="19">
          <cell r="D19">
            <v>2353</v>
          </cell>
          <cell r="E19" t="str">
            <v>Birley Primary Academy</v>
          </cell>
          <cell r="G19">
            <v>533</v>
          </cell>
          <cell r="H19">
            <v>2.60223048327138E-2</v>
          </cell>
          <cell r="I19">
            <v>0</v>
          </cell>
          <cell r="J19">
            <v>0</v>
          </cell>
          <cell r="K19">
            <v>2.4390243902439001E-2</v>
          </cell>
          <cell r="L19">
            <v>0.9372822299651542</v>
          </cell>
          <cell r="M19">
            <v>0</v>
          </cell>
          <cell r="N19">
            <v>0</v>
          </cell>
        </row>
        <row r="20">
          <cell r="D20">
            <v>2323</v>
          </cell>
          <cell r="E20" t="str">
            <v>Birley Spa Primary Academy</v>
          </cell>
          <cell r="G20">
            <v>355</v>
          </cell>
          <cell r="H20">
            <v>5.5710306406685201E-2</v>
          </cell>
          <cell r="I20">
            <v>0</v>
          </cell>
          <cell r="J20">
            <v>5.699999999999994</v>
          </cell>
          <cell r="K20">
            <v>7.6056338028168996E-2</v>
          </cell>
          <cell r="L20">
            <v>1.3652112676056343</v>
          </cell>
          <cell r="M20">
            <v>1.6056338028168998E-2</v>
          </cell>
          <cell r="N20">
            <v>5272.4999999999945</v>
          </cell>
        </row>
        <row r="21">
          <cell r="D21">
            <v>2328</v>
          </cell>
          <cell r="E21" t="str">
            <v>Bradfield Dungworth Primary School</v>
          </cell>
          <cell r="G21">
            <v>126</v>
          </cell>
          <cell r="H21">
            <v>2.4390243902439001E-2</v>
          </cell>
          <cell r="I21">
            <v>0</v>
          </cell>
          <cell r="J21">
            <v>0</v>
          </cell>
          <cell r="K21">
            <v>7.9365079365079395E-3</v>
          </cell>
          <cell r="L21">
            <v>0.32539682539682585</v>
          </cell>
          <cell r="M21">
            <v>0</v>
          </cell>
          <cell r="N21">
            <v>0</v>
          </cell>
        </row>
        <row r="22">
          <cell r="D22">
            <v>2233</v>
          </cell>
          <cell r="E22" t="str">
            <v>Bradway Primary School</v>
          </cell>
          <cell r="G22">
            <v>413</v>
          </cell>
          <cell r="H22">
            <v>3.1175059952038401E-2</v>
          </cell>
          <cell r="I22">
            <v>0</v>
          </cell>
          <cell r="J22">
            <v>0</v>
          </cell>
          <cell r="K22">
            <v>2.4213075060532701E-2</v>
          </cell>
          <cell r="L22">
            <v>0.77668094617247119</v>
          </cell>
          <cell r="M22">
            <v>0</v>
          </cell>
          <cell r="N22">
            <v>0</v>
          </cell>
        </row>
        <row r="23">
          <cell r="D23">
            <v>2014</v>
          </cell>
          <cell r="E23" t="str">
            <v>Brightside Nursery and Infant School</v>
          </cell>
          <cell r="G23">
            <v>171</v>
          </cell>
          <cell r="H23">
            <v>5.9880239520958096E-3</v>
          </cell>
          <cell r="I23">
            <v>0</v>
          </cell>
          <cell r="J23">
            <v>0</v>
          </cell>
          <cell r="K23">
            <v>3.5087719298245598E-2</v>
          </cell>
          <cell r="L23">
            <v>5.8596491228070136</v>
          </cell>
          <cell r="M23">
            <v>0</v>
          </cell>
          <cell r="N23">
            <v>0</v>
          </cell>
        </row>
        <row r="24">
          <cell r="D24">
            <v>2246</v>
          </cell>
          <cell r="E24" t="str">
            <v>Brook House Junior</v>
          </cell>
          <cell r="G24">
            <v>339</v>
          </cell>
          <cell r="H24">
            <v>1.7699115044247801E-2</v>
          </cell>
          <cell r="I24">
            <v>0</v>
          </cell>
          <cell r="J24">
            <v>0</v>
          </cell>
          <cell r="K24">
            <v>1.47492625368732E-2</v>
          </cell>
          <cell r="L24">
            <v>0.83333333333333515</v>
          </cell>
          <cell r="M24">
            <v>0</v>
          </cell>
          <cell r="N24">
            <v>0</v>
          </cell>
        </row>
        <row r="25">
          <cell r="D25">
            <v>5204</v>
          </cell>
          <cell r="E25" t="str">
            <v>Broomhill Infant School</v>
          </cell>
          <cell r="G25">
            <v>112</v>
          </cell>
          <cell r="H25">
            <v>2.5641025641025599E-2</v>
          </cell>
          <cell r="I25">
            <v>0</v>
          </cell>
          <cell r="J25">
            <v>0</v>
          </cell>
          <cell r="K25">
            <v>3.6036036036036001E-2</v>
          </cell>
          <cell r="L25">
            <v>1.4054054054054064</v>
          </cell>
          <cell r="M25">
            <v>0</v>
          </cell>
          <cell r="N25">
            <v>0</v>
          </cell>
        </row>
        <row r="26">
          <cell r="D26">
            <v>2325</v>
          </cell>
          <cell r="E26" t="str">
            <v>Brunswick Community Primary School</v>
          </cell>
          <cell r="G26">
            <v>413</v>
          </cell>
          <cell r="H26">
            <v>2.7093596059113299E-2</v>
          </cell>
          <cell r="I26">
            <v>0</v>
          </cell>
          <cell r="J26">
            <v>0</v>
          </cell>
          <cell r="K26">
            <v>5.3398058252427202E-2</v>
          </cell>
          <cell r="L26">
            <v>1.9708737864077679</v>
          </cell>
          <cell r="M26">
            <v>0</v>
          </cell>
          <cell r="N26">
            <v>0</v>
          </cell>
        </row>
        <row r="27">
          <cell r="D27">
            <v>2095</v>
          </cell>
          <cell r="E27" t="str">
            <v>Byron Wood Primary Academy</v>
          </cell>
          <cell r="G27">
            <v>395</v>
          </cell>
          <cell r="H27">
            <v>3.9215686274509803E-2</v>
          </cell>
          <cell r="I27">
            <v>0</v>
          </cell>
          <cell r="J27">
            <v>1.3634517766497509</v>
          </cell>
          <cell r="K27">
            <v>6.3451776649746203E-2</v>
          </cell>
          <cell r="L27">
            <v>1.6180203045685282</v>
          </cell>
          <cell r="M27">
            <v>3.4517766497462049E-3</v>
          </cell>
          <cell r="N27">
            <v>1261.1928934010195</v>
          </cell>
        </row>
        <row r="28">
          <cell r="D28">
            <v>2344</v>
          </cell>
          <cell r="E28" t="str">
            <v>Carfield Primary School</v>
          </cell>
          <cell r="G28">
            <v>550</v>
          </cell>
          <cell r="H28">
            <v>3.6297640653357499E-2</v>
          </cell>
          <cell r="I28">
            <v>0</v>
          </cell>
          <cell r="J28">
            <v>0</v>
          </cell>
          <cell r="K28">
            <v>5.8181818181818203E-2</v>
          </cell>
          <cell r="L28">
            <v>1.6029090909090928</v>
          </cell>
          <cell r="M28">
            <v>0</v>
          </cell>
          <cell r="N28">
            <v>0</v>
          </cell>
        </row>
        <row r="29">
          <cell r="D29">
            <v>2023</v>
          </cell>
          <cell r="E29" t="str">
            <v>Carter Knowle Junior School</v>
          </cell>
          <cell r="G29">
            <v>223</v>
          </cell>
          <cell r="H29">
            <v>1.7777777777777799E-2</v>
          </cell>
          <cell r="I29">
            <v>0</v>
          </cell>
          <cell r="J29">
            <v>0</v>
          </cell>
          <cell r="K29">
            <v>3.1390134529148003E-2</v>
          </cell>
          <cell r="L29">
            <v>1.765695067264573</v>
          </cell>
          <cell r="M29">
            <v>0</v>
          </cell>
          <cell r="N29">
            <v>0</v>
          </cell>
        </row>
        <row r="30">
          <cell r="D30">
            <v>2354</v>
          </cell>
          <cell r="E30" t="str">
            <v>Charnock Hall Primary Academy</v>
          </cell>
          <cell r="G30">
            <v>401</v>
          </cell>
          <cell r="H30">
            <v>1.28865979381443E-2</v>
          </cell>
          <cell r="I30">
            <v>0</v>
          </cell>
          <cell r="J30">
            <v>0</v>
          </cell>
          <cell r="K30">
            <v>3.24189526184539E-2</v>
          </cell>
          <cell r="L30">
            <v>2.5157107231920284</v>
          </cell>
          <cell r="M30">
            <v>0</v>
          </cell>
          <cell r="N30">
            <v>0</v>
          </cell>
        </row>
        <row r="31">
          <cell r="D31">
            <v>5200</v>
          </cell>
          <cell r="E31" t="str">
            <v>Clifford All Saints CofE Primary School</v>
          </cell>
          <cell r="G31">
            <v>191</v>
          </cell>
          <cell r="H31">
            <v>6.5476190476190493E-2</v>
          </cell>
          <cell r="I31">
            <v>0.92000000000000326</v>
          </cell>
          <cell r="J31">
            <v>4.5399999999999991</v>
          </cell>
          <cell r="K31">
            <v>8.3769633507853394E-2</v>
          </cell>
          <cell r="L31">
            <v>1.2793907663017605</v>
          </cell>
          <cell r="M31">
            <v>2.3769633507853397E-2</v>
          </cell>
          <cell r="N31">
            <v>4199.4999999999991</v>
          </cell>
        </row>
        <row r="32">
          <cell r="D32">
            <v>2312</v>
          </cell>
          <cell r="E32" t="str">
            <v>Coit Primary School</v>
          </cell>
          <cell r="G32">
            <v>201</v>
          </cell>
          <cell r="H32">
            <v>9.9009900990098994E-3</v>
          </cell>
          <cell r="I32">
            <v>0</v>
          </cell>
          <cell r="J32">
            <v>0</v>
          </cell>
          <cell r="K32">
            <v>9.9502487562189105E-3</v>
          </cell>
          <cell r="L32">
            <v>1.0049751243781102</v>
          </cell>
          <cell r="M32">
            <v>0</v>
          </cell>
          <cell r="N32">
            <v>0</v>
          </cell>
        </row>
        <row r="33">
          <cell r="D33">
            <v>2026</v>
          </cell>
          <cell r="E33" t="str">
            <v>Concord Junior School</v>
          </cell>
          <cell r="G33">
            <v>190</v>
          </cell>
          <cell r="H33">
            <v>5.7416267942583699E-2</v>
          </cell>
          <cell r="I33">
            <v>0</v>
          </cell>
          <cell r="J33">
            <v>6.6952380952380892</v>
          </cell>
          <cell r="K33">
            <v>9.5238095238095205E-2</v>
          </cell>
          <cell r="L33">
            <v>1.6587301587301591</v>
          </cell>
          <cell r="M33">
            <v>3.5238095238095207E-2</v>
          </cell>
          <cell r="N33">
            <v>6193.0952380952322</v>
          </cell>
        </row>
        <row r="34">
          <cell r="D34">
            <v>3422</v>
          </cell>
          <cell r="E34" t="str">
            <v>Deepcar St John's Church of England Junior School</v>
          </cell>
          <cell r="G34">
            <v>166</v>
          </cell>
          <cell r="H34">
            <v>5.0955414012738898E-2</v>
          </cell>
          <cell r="I34">
            <v>0</v>
          </cell>
          <cell r="J34">
            <v>0</v>
          </cell>
          <cell r="K34">
            <v>3.0120481927710802E-2</v>
          </cell>
          <cell r="L34">
            <v>0.59111445783132399</v>
          </cell>
          <cell r="M34">
            <v>0</v>
          </cell>
          <cell r="N34">
            <v>0</v>
          </cell>
        </row>
        <row r="35">
          <cell r="D35">
            <v>2283</v>
          </cell>
          <cell r="E35" t="str">
            <v>Dobcroft Infant School</v>
          </cell>
          <cell r="G35">
            <v>270</v>
          </cell>
          <cell r="H35">
            <v>1.1111111111111099E-2</v>
          </cell>
          <cell r="I35">
            <v>0</v>
          </cell>
          <cell r="J35">
            <v>0</v>
          </cell>
          <cell r="K35">
            <v>7.4074074074074103E-3</v>
          </cell>
          <cell r="L35">
            <v>0.66666666666666763</v>
          </cell>
          <cell r="M35">
            <v>0</v>
          </cell>
          <cell r="N35">
            <v>0</v>
          </cell>
        </row>
        <row r="36">
          <cell r="D36">
            <v>2239</v>
          </cell>
          <cell r="E36" t="str">
            <v>Dobcroft Junior School</v>
          </cell>
          <cell r="G36">
            <v>419</v>
          </cell>
          <cell r="H36">
            <v>1.2019230769230799E-2</v>
          </cell>
          <cell r="I36">
            <v>0</v>
          </cell>
          <cell r="J36">
            <v>0</v>
          </cell>
          <cell r="K36">
            <v>1.19617224880383E-2</v>
          </cell>
          <cell r="L36">
            <v>0.99521531100478411</v>
          </cell>
          <cell r="M36">
            <v>0</v>
          </cell>
          <cell r="N36">
            <v>0</v>
          </cell>
        </row>
        <row r="37">
          <cell r="D37">
            <v>2364</v>
          </cell>
          <cell r="E37" t="str">
            <v>Dore Primary School</v>
          </cell>
          <cell r="G37">
            <v>446</v>
          </cell>
          <cell r="H37">
            <v>1.88679245283019E-2</v>
          </cell>
          <cell r="I37">
            <v>0</v>
          </cell>
          <cell r="J37">
            <v>0</v>
          </cell>
          <cell r="K37">
            <v>2.0224719101123601E-2</v>
          </cell>
          <cell r="L37">
            <v>1.07191011235955</v>
          </cell>
          <cell r="M37">
            <v>0</v>
          </cell>
          <cell r="N37">
            <v>0</v>
          </cell>
        </row>
        <row r="38">
          <cell r="D38">
            <v>2016</v>
          </cell>
          <cell r="E38" t="str">
            <v>E-ACT Pathways Academy</v>
          </cell>
          <cell r="G38">
            <v>350</v>
          </cell>
          <cell r="H38">
            <v>7.0821529745042494E-2</v>
          </cell>
          <cell r="I38">
            <v>3.8200000000000012</v>
          </cell>
          <cell r="J38">
            <v>23.252873563218252</v>
          </cell>
          <cell r="K38">
            <v>0.126436781609195</v>
          </cell>
          <cell r="L38">
            <v>1.7852873563218334</v>
          </cell>
          <cell r="M38">
            <v>6.6436781609195E-2</v>
          </cell>
          <cell r="N38">
            <v>21508.908045976881</v>
          </cell>
        </row>
        <row r="39">
          <cell r="D39">
            <v>2206</v>
          </cell>
          <cell r="E39" t="str">
            <v>Ecclesall Primary School</v>
          </cell>
          <cell r="G39">
            <v>601</v>
          </cell>
          <cell r="H39">
            <v>2.8475711892797299E-2</v>
          </cell>
          <cell r="I39">
            <v>0</v>
          </cell>
          <cell r="J39">
            <v>0</v>
          </cell>
          <cell r="K39">
            <v>2.4958402662229599E-2</v>
          </cell>
          <cell r="L39">
            <v>0.87648037584418126</v>
          </cell>
          <cell r="M39">
            <v>0</v>
          </cell>
          <cell r="N39">
            <v>0</v>
          </cell>
        </row>
        <row r="40">
          <cell r="D40">
            <v>2080</v>
          </cell>
          <cell r="E40" t="str">
            <v>Ecclesfield Primary School</v>
          </cell>
          <cell r="G40">
            <v>392</v>
          </cell>
          <cell r="H40">
            <v>1.7369727047146399E-2</v>
          </cell>
          <cell r="I40">
            <v>0</v>
          </cell>
          <cell r="J40">
            <v>0</v>
          </cell>
          <cell r="K40">
            <v>2.3076923076923099E-2</v>
          </cell>
          <cell r="L40">
            <v>1.3285714285714301</v>
          </cell>
          <cell r="M40">
            <v>0</v>
          </cell>
          <cell r="N40">
            <v>0</v>
          </cell>
        </row>
        <row r="41">
          <cell r="D41">
            <v>2024</v>
          </cell>
          <cell r="E41" t="str">
            <v>Emmanuel Anglican/Methodist Junior School</v>
          </cell>
          <cell r="G41">
            <v>187</v>
          </cell>
          <cell r="H41">
            <v>2.39234449760766E-2</v>
          </cell>
          <cell r="I41">
            <v>0</v>
          </cell>
          <cell r="J41">
            <v>0</v>
          </cell>
          <cell r="K41">
            <v>3.20855614973262E-2</v>
          </cell>
          <cell r="L41">
            <v>1.3411764705882325</v>
          </cell>
          <cell r="M41">
            <v>0</v>
          </cell>
          <cell r="N41">
            <v>0</v>
          </cell>
        </row>
        <row r="42">
          <cell r="D42">
            <v>2028</v>
          </cell>
          <cell r="E42" t="str">
            <v>Emmaus Catholic and CofE Primary School</v>
          </cell>
          <cell r="G42">
            <v>296</v>
          </cell>
          <cell r="H42">
            <v>1.6949152542372899E-2</v>
          </cell>
          <cell r="I42">
            <v>0</v>
          </cell>
          <cell r="J42">
            <v>0</v>
          </cell>
          <cell r="K42">
            <v>5.0675675675675699E-2</v>
          </cell>
          <cell r="L42">
            <v>2.9898648648648631</v>
          </cell>
          <cell r="M42">
            <v>0</v>
          </cell>
          <cell r="N42">
            <v>0</v>
          </cell>
        </row>
        <row r="43">
          <cell r="D43">
            <v>2010</v>
          </cell>
          <cell r="E43" t="str">
            <v>Fox Hill Primary</v>
          </cell>
          <cell r="G43">
            <v>291</v>
          </cell>
          <cell r="H43">
            <v>5.0335570469798703E-2</v>
          </cell>
          <cell r="I43">
            <v>0</v>
          </cell>
          <cell r="J43">
            <v>0</v>
          </cell>
          <cell r="K43">
            <v>5.5363321799308002E-2</v>
          </cell>
          <cell r="L43">
            <v>1.0998846597462513</v>
          </cell>
          <cell r="M43">
            <v>0</v>
          </cell>
          <cell r="N43">
            <v>0</v>
          </cell>
        </row>
        <row r="44">
          <cell r="D44">
            <v>2036</v>
          </cell>
          <cell r="E44" t="str">
            <v>Gleadless Primary School</v>
          </cell>
          <cell r="G44">
            <v>393</v>
          </cell>
          <cell r="H44">
            <v>4.0201005025125601E-2</v>
          </cell>
          <cell r="I44">
            <v>0</v>
          </cell>
          <cell r="J44">
            <v>0</v>
          </cell>
          <cell r="K44">
            <v>4.3256997455470701E-2</v>
          </cell>
          <cell r="L44">
            <v>1.0760178117048345</v>
          </cell>
          <cell r="M44">
            <v>0</v>
          </cell>
          <cell r="N44">
            <v>0</v>
          </cell>
        </row>
        <row r="45">
          <cell r="D45">
            <v>2305</v>
          </cell>
          <cell r="E45" t="str">
            <v>Greengate Lane Academy</v>
          </cell>
          <cell r="G45">
            <v>187</v>
          </cell>
          <cell r="H45">
            <v>0.10160427807486599</v>
          </cell>
          <cell r="I45">
            <v>7.7799999999999416</v>
          </cell>
          <cell r="J45">
            <v>4.7799999999999994</v>
          </cell>
          <cell r="K45">
            <v>8.5561497326203204E-2</v>
          </cell>
          <cell r="L45">
            <v>0.84210526315789735</v>
          </cell>
          <cell r="M45">
            <v>2.5561497326203206E-2</v>
          </cell>
          <cell r="N45">
            <v>4421.4999999999991</v>
          </cell>
        </row>
        <row r="46">
          <cell r="D46">
            <v>2341</v>
          </cell>
          <cell r="E46" t="str">
            <v>Greenhill Primary School</v>
          </cell>
          <cell r="G46">
            <v>466</v>
          </cell>
          <cell r="H46">
            <v>3.2388663967611302E-2</v>
          </cell>
          <cell r="I46">
            <v>0</v>
          </cell>
          <cell r="J46">
            <v>0</v>
          </cell>
          <cell r="K46">
            <v>5.1502145922746802E-2</v>
          </cell>
          <cell r="L46">
            <v>1.5901287553648091</v>
          </cell>
          <cell r="M46">
            <v>0</v>
          </cell>
          <cell r="N46">
            <v>0</v>
          </cell>
        </row>
        <row r="47">
          <cell r="D47">
            <v>2296</v>
          </cell>
          <cell r="E47" t="str">
            <v>Grenoside Community Primary School</v>
          </cell>
          <cell r="G47">
            <v>314</v>
          </cell>
          <cell r="H47">
            <v>3.05810397553517E-3</v>
          </cell>
          <cell r="I47">
            <v>0</v>
          </cell>
          <cell r="J47">
            <v>0</v>
          </cell>
          <cell r="K47">
            <v>1.9108280254777101E-2</v>
          </cell>
          <cell r="L47">
            <v>6.2484076433121079</v>
          </cell>
          <cell r="M47">
            <v>0</v>
          </cell>
          <cell r="N47">
            <v>0</v>
          </cell>
        </row>
        <row r="48">
          <cell r="D48">
            <v>2356</v>
          </cell>
          <cell r="E48" t="str">
            <v>Greystones Primary School</v>
          </cell>
          <cell r="G48">
            <v>625</v>
          </cell>
          <cell r="H48">
            <v>2.20338983050847E-2</v>
          </cell>
          <cell r="I48">
            <v>0</v>
          </cell>
          <cell r="J48">
            <v>0</v>
          </cell>
          <cell r="K48">
            <v>3.5200000000000002E-2</v>
          </cell>
          <cell r="L48">
            <v>1.5975384615384649</v>
          </cell>
          <cell r="M48">
            <v>0</v>
          </cell>
          <cell r="N48">
            <v>0</v>
          </cell>
        </row>
        <row r="49">
          <cell r="D49">
            <v>2279</v>
          </cell>
          <cell r="E49" t="str">
            <v>Halfway Junior School</v>
          </cell>
          <cell r="G49">
            <v>211</v>
          </cell>
          <cell r="H49">
            <v>1.8957345971564E-2</v>
          </cell>
          <cell r="I49">
            <v>0</v>
          </cell>
          <cell r="J49">
            <v>0</v>
          </cell>
          <cell r="K49">
            <v>3.3175355450236997E-2</v>
          </cell>
          <cell r="L49">
            <v>1.7499999999999998</v>
          </cell>
          <cell r="M49">
            <v>0</v>
          </cell>
          <cell r="N49">
            <v>0</v>
          </cell>
        </row>
        <row r="50">
          <cell r="D50">
            <v>2252</v>
          </cell>
          <cell r="E50" t="str">
            <v>Halfway Nursery Infant School</v>
          </cell>
          <cell r="G50">
            <v>156</v>
          </cell>
          <cell r="H50">
            <v>6.8027210884353704E-3</v>
          </cell>
          <cell r="I50">
            <v>0</v>
          </cell>
          <cell r="J50">
            <v>0</v>
          </cell>
          <cell r="K50">
            <v>3.8461538461538498E-2</v>
          </cell>
          <cell r="L50">
            <v>5.6538461538461622</v>
          </cell>
          <cell r="M50">
            <v>0</v>
          </cell>
          <cell r="N50">
            <v>0</v>
          </cell>
        </row>
        <row r="51">
          <cell r="D51">
            <v>2357</v>
          </cell>
          <cell r="E51" t="str">
            <v>Hallam Primary School</v>
          </cell>
          <cell r="G51">
            <v>624</v>
          </cell>
          <cell r="H51">
            <v>2.51572327044025E-2</v>
          </cell>
          <cell r="I51">
            <v>0</v>
          </cell>
          <cell r="J51">
            <v>0</v>
          </cell>
          <cell r="K51">
            <v>3.8461538461538498E-2</v>
          </cell>
          <cell r="L51">
            <v>1.5288461538461562</v>
          </cell>
          <cell r="M51">
            <v>0</v>
          </cell>
          <cell r="N51">
            <v>0</v>
          </cell>
        </row>
        <row r="52">
          <cell r="D52">
            <v>2050</v>
          </cell>
          <cell r="E52" t="str">
            <v>Hartley Brook Primary School</v>
          </cell>
          <cell r="G52">
            <v>594</v>
          </cell>
          <cell r="H52">
            <v>5.5921052631578899E-2</v>
          </cell>
          <cell r="I52">
            <v>0</v>
          </cell>
          <cell r="J52">
            <v>2.3600000000000181</v>
          </cell>
          <cell r="K52">
            <v>6.3973063973064001E-2</v>
          </cell>
          <cell r="L52">
            <v>1.1439889086947925</v>
          </cell>
          <cell r="M52">
            <v>3.9730639730640033E-3</v>
          </cell>
          <cell r="N52">
            <v>2183.0000000000168</v>
          </cell>
        </row>
        <row r="53">
          <cell r="D53">
            <v>2049</v>
          </cell>
          <cell r="E53" t="str">
            <v>Hatfield Academy</v>
          </cell>
          <cell r="G53">
            <v>371</v>
          </cell>
          <cell r="H53">
            <v>0.107894736842105</v>
          </cell>
          <cell r="I53">
            <v>18.1999999999999</v>
          </cell>
          <cell r="J53">
            <v>26.739999999999927</v>
          </cell>
          <cell r="K53">
            <v>0.13207547169811301</v>
          </cell>
          <cell r="L53">
            <v>1.2241141279337333</v>
          </cell>
          <cell r="M53">
            <v>7.2075471698113014E-2</v>
          </cell>
          <cell r="N53">
            <v>24734.499999999935</v>
          </cell>
        </row>
        <row r="54">
          <cell r="D54">
            <v>2297</v>
          </cell>
          <cell r="E54" t="str">
            <v>High Green Primary School</v>
          </cell>
          <cell r="G54">
            <v>199</v>
          </cell>
          <cell r="H54">
            <v>3.8095238095238099E-2</v>
          </cell>
          <cell r="I54">
            <v>0</v>
          </cell>
          <cell r="J54">
            <v>0</v>
          </cell>
          <cell r="K54">
            <v>3.5175879396984903E-2</v>
          </cell>
          <cell r="L54">
            <v>0.92336683417085363</v>
          </cell>
          <cell r="M54">
            <v>0</v>
          </cell>
          <cell r="N54">
            <v>0</v>
          </cell>
        </row>
        <row r="55">
          <cell r="D55">
            <v>2042</v>
          </cell>
          <cell r="E55" t="str">
            <v>High Hazels Junior School</v>
          </cell>
          <cell r="G55">
            <v>351</v>
          </cell>
          <cell r="H55">
            <v>4.5454545454545497E-2</v>
          </cell>
          <cell r="I55">
            <v>0</v>
          </cell>
          <cell r="J55">
            <v>0</v>
          </cell>
          <cell r="K55">
            <v>4.55840455840456E-2</v>
          </cell>
          <cell r="L55">
            <v>1.0028490028490022</v>
          </cell>
          <cell r="M55">
            <v>0</v>
          </cell>
          <cell r="N55">
            <v>0</v>
          </cell>
        </row>
        <row r="56">
          <cell r="D56">
            <v>2039</v>
          </cell>
          <cell r="E56" t="str">
            <v>High Hazels Nursery Infant Academy</v>
          </cell>
          <cell r="G56">
            <v>229</v>
          </cell>
          <cell r="H56">
            <v>1.7167381974248899E-2</v>
          </cell>
          <cell r="I56">
            <v>0</v>
          </cell>
          <cell r="J56">
            <v>0</v>
          </cell>
          <cell r="K56">
            <v>3.9301310043668103E-2</v>
          </cell>
          <cell r="L56">
            <v>2.2893013100436708</v>
          </cell>
          <cell r="M56">
            <v>0</v>
          </cell>
          <cell r="N56">
            <v>0</v>
          </cell>
        </row>
        <row r="57">
          <cell r="D57">
            <v>2339</v>
          </cell>
          <cell r="E57" t="str">
            <v>Hillsborough Primary School</v>
          </cell>
          <cell r="G57">
            <v>347</v>
          </cell>
          <cell r="H57">
            <v>7.0796460176991094E-2</v>
          </cell>
          <cell r="I57">
            <v>3.6707964601769727</v>
          </cell>
          <cell r="J57">
            <v>5.1799999999999944</v>
          </cell>
          <cell r="K57">
            <v>7.4927953890489896E-2</v>
          </cell>
          <cell r="L57">
            <v>1.0583573487031706</v>
          </cell>
          <cell r="M57">
            <v>1.4927953890489898E-2</v>
          </cell>
          <cell r="N57">
            <v>4791.4999999999945</v>
          </cell>
        </row>
        <row r="58">
          <cell r="D58">
            <v>2213</v>
          </cell>
          <cell r="E58" t="str">
            <v>Holt House Infant School</v>
          </cell>
          <cell r="G58">
            <v>179</v>
          </cell>
          <cell r="H58">
            <v>6.0240963855421699E-3</v>
          </cell>
          <cell r="I58">
            <v>0</v>
          </cell>
          <cell r="J58">
            <v>0</v>
          </cell>
          <cell r="K58">
            <v>3.91061452513966E-2</v>
          </cell>
          <cell r="L58">
            <v>6.4916201117318346</v>
          </cell>
          <cell r="M58">
            <v>0</v>
          </cell>
          <cell r="N58">
            <v>0</v>
          </cell>
        </row>
        <row r="59">
          <cell r="D59">
            <v>2337</v>
          </cell>
          <cell r="E59" t="str">
            <v>Hucklow Primary School</v>
          </cell>
          <cell r="G59">
            <v>413</v>
          </cell>
          <cell r="H59">
            <v>3.3492822966507199E-2</v>
          </cell>
          <cell r="I59">
            <v>0</v>
          </cell>
          <cell r="J59">
            <v>0</v>
          </cell>
          <cell r="K59">
            <v>4.6116504854368898E-2</v>
          </cell>
          <cell r="L59">
            <v>1.3769070735090134</v>
          </cell>
          <cell r="M59">
            <v>0</v>
          </cell>
          <cell r="N59">
            <v>0</v>
          </cell>
        </row>
        <row r="60">
          <cell r="D60">
            <v>2060</v>
          </cell>
          <cell r="E60" t="str">
            <v>Hunter's Bar Infant School</v>
          </cell>
          <cell r="G60">
            <v>267</v>
          </cell>
          <cell r="H60">
            <v>0</v>
          </cell>
          <cell r="I60">
            <v>0</v>
          </cell>
          <cell r="J60">
            <v>0</v>
          </cell>
          <cell r="K60">
            <v>2.6217228464419502E-2</v>
          </cell>
          <cell r="L60" t="e">
            <v>#DIV/0!</v>
          </cell>
          <cell r="M60">
            <v>0</v>
          </cell>
          <cell r="N60">
            <v>0</v>
          </cell>
        </row>
        <row r="61">
          <cell r="D61">
            <v>2058</v>
          </cell>
          <cell r="E61" t="str">
            <v>Hunter's Bar Junior School</v>
          </cell>
          <cell r="G61">
            <v>362</v>
          </cell>
          <cell r="H61">
            <v>1.1142061281337001E-2</v>
          </cell>
          <cell r="I61">
            <v>0</v>
          </cell>
          <cell r="J61">
            <v>0</v>
          </cell>
          <cell r="K61">
            <v>8.2872928176795594E-3</v>
          </cell>
          <cell r="L61">
            <v>0.74378453038674353</v>
          </cell>
          <cell r="M61">
            <v>0</v>
          </cell>
          <cell r="N61">
            <v>0</v>
          </cell>
        </row>
        <row r="62">
          <cell r="D62">
            <v>2063</v>
          </cell>
          <cell r="E62" t="str">
            <v>Intake Primary School</v>
          </cell>
          <cell r="G62">
            <v>409</v>
          </cell>
          <cell r="H62">
            <v>2.44498777506112E-2</v>
          </cell>
          <cell r="I62">
            <v>0</v>
          </cell>
          <cell r="J62">
            <v>0</v>
          </cell>
          <cell r="K62">
            <v>2.44498777506112E-2</v>
          </cell>
          <cell r="L62">
            <v>1</v>
          </cell>
          <cell r="M62">
            <v>0</v>
          </cell>
          <cell r="N62">
            <v>0</v>
          </cell>
        </row>
        <row r="63">
          <cell r="D63">
            <v>2261</v>
          </cell>
          <cell r="E63" t="str">
            <v>Limpsfield Junior School</v>
          </cell>
          <cell r="G63">
            <v>235</v>
          </cell>
          <cell r="H63">
            <v>4.4247787610619503E-2</v>
          </cell>
          <cell r="I63">
            <v>0</v>
          </cell>
          <cell r="J63">
            <v>0</v>
          </cell>
          <cell r="K63">
            <v>3.8297872340425497E-2</v>
          </cell>
          <cell r="L63">
            <v>0.86553191489361558</v>
          </cell>
          <cell r="M63">
            <v>0</v>
          </cell>
          <cell r="N63">
            <v>0</v>
          </cell>
        </row>
        <row r="64">
          <cell r="D64">
            <v>2315</v>
          </cell>
          <cell r="E64" t="str">
            <v>Lound Infant School</v>
          </cell>
          <cell r="G64">
            <v>145</v>
          </cell>
          <cell r="H64">
            <v>6.7114093959731499E-3</v>
          </cell>
          <cell r="I64">
            <v>0</v>
          </cell>
          <cell r="J64">
            <v>0</v>
          </cell>
          <cell r="K64">
            <v>2.06896551724138E-2</v>
          </cell>
          <cell r="L64">
            <v>3.082758620689658</v>
          </cell>
          <cell r="M64">
            <v>0</v>
          </cell>
          <cell r="N64">
            <v>0</v>
          </cell>
        </row>
        <row r="65">
          <cell r="D65">
            <v>2298</v>
          </cell>
          <cell r="E65" t="str">
            <v>Lound Junior School</v>
          </cell>
          <cell r="G65">
            <v>209</v>
          </cell>
          <cell r="H65">
            <v>2.3696682464454999E-2</v>
          </cell>
          <cell r="I65">
            <v>0</v>
          </cell>
          <cell r="J65">
            <v>0</v>
          </cell>
          <cell r="K65">
            <v>2.8708133971291901E-2</v>
          </cell>
          <cell r="L65">
            <v>1.2114832535885172</v>
          </cell>
          <cell r="M65">
            <v>0</v>
          </cell>
          <cell r="N65">
            <v>0</v>
          </cell>
        </row>
        <row r="66">
          <cell r="D66">
            <v>2029</v>
          </cell>
          <cell r="E66" t="str">
            <v>Lowedges Junior Academy</v>
          </cell>
          <cell r="G66">
            <v>302</v>
          </cell>
          <cell r="H66">
            <v>0.101910828025478</v>
          </cell>
          <cell r="I66">
            <v>13.160000000000094</v>
          </cell>
          <cell r="J66">
            <v>3.88</v>
          </cell>
          <cell r="K66">
            <v>7.2847682119205295E-2</v>
          </cell>
          <cell r="L66">
            <v>0.71481788079469988</v>
          </cell>
          <cell r="M66">
            <v>1.2847682119205298E-2</v>
          </cell>
          <cell r="N66">
            <v>3589</v>
          </cell>
        </row>
        <row r="67">
          <cell r="D67">
            <v>2045</v>
          </cell>
          <cell r="E67" t="str">
            <v>Lower Meadow Primary School</v>
          </cell>
          <cell r="G67">
            <v>249</v>
          </cell>
          <cell r="H67">
            <v>8.1967213114754106E-2</v>
          </cell>
          <cell r="I67">
            <v>5.4039344262295108</v>
          </cell>
          <cell r="J67">
            <v>10.160806451612848</v>
          </cell>
          <cell r="K67">
            <v>0.100806451612903</v>
          </cell>
          <cell r="L67">
            <v>1.2298387096774164</v>
          </cell>
          <cell r="M67">
            <v>4.0806451612903E-2</v>
          </cell>
          <cell r="N67">
            <v>9398.7459677418847</v>
          </cell>
        </row>
        <row r="68">
          <cell r="D68">
            <v>2070</v>
          </cell>
          <cell r="E68" t="str">
            <v>Lowfield Community Primary School</v>
          </cell>
          <cell r="G68">
            <v>365</v>
          </cell>
          <cell r="H68">
            <v>6.9518716577540093E-2</v>
          </cell>
          <cell r="I68">
            <v>3.5599999999999956</v>
          </cell>
          <cell r="J68">
            <v>12.100000000000017</v>
          </cell>
          <cell r="K68">
            <v>9.3150684931506897E-2</v>
          </cell>
          <cell r="L68">
            <v>1.3399367755532148</v>
          </cell>
          <cell r="M68">
            <v>3.3150684931506899E-2</v>
          </cell>
          <cell r="N68">
            <v>11192.500000000016</v>
          </cell>
        </row>
        <row r="69">
          <cell r="D69">
            <v>2292</v>
          </cell>
          <cell r="E69" t="str">
            <v>Loxley Primary School</v>
          </cell>
          <cell r="G69">
            <v>209</v>
          </cell>
          <cell r="H69">
            <v>9.7560975609756097E-3</v>
          </cell>
          <cell r="I69">
            <v>0</v>
          </cell>
          <cell r="J69">
            <v>0</v>
          </cell>
          <cell r="K69">
            <v>9.5693779904306199E-3</v>
          </cell>
          <cell r="L69">
            <v>0.98086124401913855</v>
          </cell>
          <cell r="M69">
            <v>0</v>
          </cell>
          <cell r="N69">
            <v>0</v>
          </cell>
        </row>
        <row r="70">
          <cell r="D70">
            <v>2072</v>
          </cell>
          <cell r="E70" t="str">
            <v>Lydgate Infant School</v>
          </cell>
          <cell r="G70">
            <v>356</v>
          </cell>
          <cell r="H70">
            <v>0</v>
          </cell>
          <cell r="I70">
            <v>0</v>
          </cell>
          <cell r="J70">
            <v>0</v>
          </cell>
          <cell r="K70">
            <v>1.40449438202247E-2</v>
          </cell>
          <cell r="L70" t="e">
            <v>#DIV/0!</v>
          </cell>
          <cell r="M70">
            <v>0</v>
          </cell>
          <cell r="N70">
            <v>0</v>
          </cell>
        </row>
        <row r="71">
          <cell r="D71">
            <v>2071</v>
          </cell>
          <cell r="E71" t="str">
            <v>Lydgate Junior School</v>
          </cell>
          <cell r="G71">
            <v>475</v>
          </cell>
          <cell r="H71">
            <v>1.8749999999999999E-2</v>
          </cell>
          <cell r="I71">
            <v>0</v>
          </cell>
          <cell r="J71">
            <v>0</v>
          </cell>
          <cell r="K71">
            <v>1.8947368421052602E-2</v>
          </cell>
          <cell r="L71">
            <v>1.0105263157894722</v>
          </cell>
          <cell r="M71">
            <v>0</v>
          </cell>
          <cell r="N71">
            <v>0</v>
          </cell>
        </row>
        <row r="72">
          <cell r="D72">
            <v>2358</v>
          </cell>
          <cell r="E72" t="str">
            <v>Malin Bridge Primary School</v>
          </cell>
          <cell r="G72">
            <v>522</v>
          </cell>
          <cell r="H72">
            <v>1.7208413001912001E-2</v>
          </cell>
          <cell r="I72">
            <v>0</v>
          </cell>
          <cell r="J72">
            <v>0</v>
          </cell>
          <cell r="K72">
            <v>1.9157088122605401E-2</v>
          </cell>
          <cell r="L72">
            <v>1.1132396764580723</v>
          </cell>
          <cell r="M72">
            <v>0</v>
          </cell>
          <cell r="N72">
            <v>0</v>
          </cell>
        </row>
        <row r="73">
          <cell r="D73">
            <v>2359</v>
          </cell>
          <cell r="E73" t="str">
            <v>Manor Lodge Community Primary and Nursery School</v>
          </cell>
          <cell r="G73">
            <v>319</v>
          </cell>
          <cell r="H73">
            <v>7.0469798657718102E-2</v>
          </cell>
          <cell r="I73">
            <v>3.1304697986577135</v>
          </cell>
          <cell r="J73">
            <v>3.9323270440251483</v>
          </cell>
          <cell r="K73">
            <v>7.2327044025157203E-2</v>
          </cell>
          <cell r="L73">
            <v>1.0263551961665167</v>
          </cell>
          <cell r="M73">
            <v>1.2327044025157205E-2</v>
          </cell>
          <cell r="N73">
            <v>3637.4025157232622</v>
          </cell>
        </row>
        <row r="74">
          <cell r="D74">
            <v>2012</v>
          </cell>
          <cell r="E74" t="str">
            <v>Mansel Primary</v>
          </cell>
          <cell r="G74">
            <v>385</v>
          </cell>
          <cell r="H74">
            <v>6.4197530864197494E-2</v>
          </cell>
          <cell r="I74">
            <v>1.7041975308641835</v>
          </cell>
          <cell r="J74">
            <v>10.899999999999997</v>
          </cell>
          <cell r="K74">
            <v>8.8311688311688299E-2</v>
          </cell>
          <cell r="L74">
            <v>1.3756243756243762</v>
          </cell>
          <cell r="M74">
            <v>2.8311688311688302E-2</v>
          </cell>
          <cell r="N74">
            <v>10082.499999999996</v>
          </cell>
        </row>
        <row r="75">
          <cell r="D75">
            <v>2079</v>
          </cell>
          <cell r="E75" t="str">
            <v>Marlcliffe Community Primary School</v>
          </cell>
          <cell r="G75">
            <v>509</v>
          </cell>
          <cell r="H75">
            <v>1.4141414141414101E-2</v>
          </cell>
          <cell r="I75">
            <v>0</v>
          </cell>
          <cell r="J75">
            <v>0</v>
          </cell>
          <cell r="K75">
            <v>2.35756385068762E-2</v>
          </cell>
          <cell r="L75">
            <v>1.6671344372719648</v>
          </cell>
          <cell r="M75">
            <v>0</v>
          </cell>
          <cell r="N75">
            <v>0</v>
          </cell>
        </row>
        <row r="76">
          <cell r="D76">
            <v>2081</v>
          </cell>
          <cell r="E76" t="str">
            <v>Meersbrook Bank Primary School</v>
          </cell>
          <cell r="G76">
            <v>200</v>
          </cell>
          <cell r="H76">
            <v>5.5555555555555601E-2</v>
          </cell>
          <cell r="I76">
            <v>0</v>
          </cell>
          <cell r="J76">
            <v>0</v>
          </cell>
          <cell r="K76">
            <v>3.5000000000000003E-2</v>
          </cell>
          <cell r="L76">
            <v>0.62999999999999956</v>
          </cell>
          <cell r="M76">
            <v>0</v>
          </cell>
          <cell r="N76">
            <v>0</v>
          </cell>
        </row>
        <row r="77">
          <cell r="D77">
            <v>2013</v>
          </cell>
          <cell r="E77" t="str">
            <v>Meynell Community Primary School</v>
          </cell>
          <cell r="G77">
            <v>361</v>
          </cell>
          <cell r="H77">
            <v>8.1743869209809306E-2</v>
          </cell>
          <cell r="I77">
            <v>8.0017438692098253</v>
          </cell>
          <cell r="J77">
            <v>11.431666666666681</v>
          </cell>
          <cell r="K77">
            <v>9.1666666666666702E-2</v>
          </cell>
          <cell r="L77">
            <v>1.1213888888888888</v>
          </cell>
          <cell r="M77">
            <v>3.1666666666666704E-2</v>
          </cell>
          <cell r="N77">
            <v>10574.291666666681</v>
          </cell>
        </row>
        <row r="78">
          <cell r="D78">
            <v>2346</v>
          </cell>
          <cell r="E78" t="str">
            <v>Monteney Primary School</v>
          </cell>
          <cell r="G78">
            <v>400</v>
          </cell>
          <cell r="H78">
            <v>2.4038461538461502E-2</v>
          </cell>
          <cell r="I78">
            <v>0</v>
          </cell>
          <cell r="J78">
            <v>0</v>
          </cell>
          <cell r="K78">
            <v>2.00501253132832E-2</v>
          </cell>
          <cell r="L78">
            <v>0.83408521303258243</v>
          </cell>
          <cell r="M78">
            <v>0</v>
          </cell>
          <cell r="N78">
            <v>0</v>
          </cell>
        </row>
        <row r="79">
          <cell r="D79">
            <v>2257</v>
          </cell>
          <cell r="E79" t="str">
            <v>Mosborough Primary School</v>
          </cell>
          <cell r="G79">
            <v>410</v>
          </cell>
          <cell r="H79">
            <v>9.5693779904306199E-3</v>
          </cell>
          <cell r="I79">
            <v>0</v>
          </cell>
          <cell r="J79">
            <v>0</v>
          </cell>
          <cell r="K79">
            <v>4.8780487804877997E-3</v>
          </cell>
          <cell r="L79">
            <v>0.50975609756097517</v>
          </cell>
          <cell r="M79">
            <v>0</v>
          </cell>
          <cell r="N79">
            <v>0</v>
          </cell>
        </row>
        <row r="80">
          <cell r="D80">
            <v>2092</v>
          </cell>
          <cell r="E80" t="str">
            <v>Mundella Primary School</v>
          </cell>
          <cell r="G80">
            <v>420</v>
          </cell>
          <cell r="H80">
            <v>1.67464114832536E-2</v>
          </cell>
          <cell r="I80">
            <v>0</v>
          </cell>
          <cell r="J80">
            <v>0</v>
          </cell>
          <cell r="K80">
            <v>2.1428571428571401E-2</v>
          </cell>
          <cell r="L80">
            <v>1.2795918367346915</v>
          </cell>
          <cell r="M80">
            <v>0</v>
          </cell>
          <cell r="N80">
            <v>0</v>
          </cell>
        </row>
        <row r="81">
          <cell r="D81">
            <v>2002</v>
          </cell>
          <cell r="E81" t="str">
            <v>Nether Edge Primary School</v>
          </cell>
          <cell r="G81">
            <v>404</v>
          </cell>
          <cell r="H81">
            <v>4.8346055979643802E-2</v>
          </cell>
          <cell r="I81">
            <v>0</v>
          </cell>
          <cell r="J81">
            <v>3.7599999999999976</v>
          </cell>
          <cell r="K81">
            <v>6.9306930693069299E-2</v>
          </cell>
          <cell r="L81">
            <v>1.4335591453882217</v>
          </cell>
          <cell r="M81">
            <v>9.3069306930693013E-3</v>
          </cell>
          <cell r="N81">
            <v>3477.9999999999977</v>
          </cell>
        </row>
        <row r="82">
          <cell r="D82">
            <v>2221</v>
          </cell>
          <cell r="E82" t="str">
            <v>Nether Green Infant School</v>
          </cell>
          <cell r="G82">
            <v>211</v>
          </cell>
          <cell r="H82">
            <v>2.4038461538461502E-2</v>
          </cell>
          <cell r="I82">
            <v>0</v>
          </cell>
          <cell r="J82">
            <v>0</v>
          </cell>
          <cell r="K82">
            <v>9.4786729857819895E-3</v>
          </cell>
          <cell r="L82">
            <v>0.39431279620853138</v>
          </cell>
          <cell r="M82">
            <v>0</v>
          </cell>
          <cell r="N82">
            <v>0</v>
          </cell>
        </row>
        <row r="83">
          <cell r="D83">
            <v>2087</v>
          </cell>
          <cell r="E83" t="str">
            <v>Nether Green Junior School</v>
          </cell>
          <cell r="G83">
            <v>359</v>
          </cell>
          <cell r="H83">
            <v>1.33689839572193E-2</v>
          </cell>
          <cell r="I83">
            <v>0</v>
          </cell>
          <cell r="J83">
            <v>0</v>
          </cell>
          <cell r="K83">
            <v>3.6211699164345398E-2</v>
          </cell>
          <cell r="L83">
            <v>2.7086350974930262</v>
          </cell>
          <cell r="M83">
            <v>0</v>
          </cell>
          <cell r="N83">
            <v>0</v>
          </cell>
        </row>
        <row r="84">
          <cell r="D84">
            <v>2272</v>
          </cell>
          <cell r="E84" t="str">
            <v>Netherthorpe Primary School</v>
          </cell>
          <cell r="G84">
            <v>206</v>
          </cell>
          <cell r="H84">
            <v>0.10784313725490199</v>
          </cell>
          <cell r="I84">
            <v>9.7600000000000069</v>
          </cell>
          <cell r="J84">
            <v>6.7326829268292716</v>
          </cell>
          <cell r="K84">
            <v>9.2682926829268306E-2</v>
          </cell>
          <cell r="L84">
            <v>0.8594235033259422</v>
          </cell>
          <cell r="M84">
            <v>3.2682926829268308E-2</v>
          </cell>
          <cell r="N84">
            <v>6227.7317073170761</v>
          </cell>
        </row>
        <row r="85">
          <cell r="D85">
            <v>2309</v>
          </cell>
          <cell r="E85" t="str">
            <v>Nook Lane Junior School</v>
          </cell>
          <cell r="G85">
            <v>252</v>
          </cell>
          <cell r="H85">
            <v>2.4E-2</v>
          </cell>
          <cell r="I85">
            <v>0</v>
          </cell>
          <cell r="J85">
            <v>0</v>
          </cell>
          <cell r="K85">
            <v>2.3809523809523801E-2</v>
          </cell>
          <cell r="L85">
            <v>0.99206349206349165</v>
          </cell>
          <cell r="M85">
            <v>0</v>
          </cell>
          <cell r="N85">
            <v>0</v>
          </cell>
        </row>
        <row r="86">
          <cell r="D86">
            <v>2051</v>
          </cell>
          <cell r="E86" t="str">
            <v>Norfolk Community Primary School</v>
          </cell>
          <cell r="G86">
            <v>388</v>
          </cell>
          <cell r="H86">
            <v>0.10666666666666701</v>
          </cell>
          <cell r="I86">
            <v>17.500000000000128</v>
          </cell>
          <cell r="J86">
            <v>24.720000000000169</v>
          </cell>
          <cell r="K86">
            <v>0.123711340206186</v>
          </cell>
          <cell r="L86">
            <v>1.15979381443299</v>
          </cell>
          <cell r="M86">
            <v>6.3711340206186004E-2</v>
          </cell>
          <cell r="N86">
            <v>22866.000000000156</v>
          </cell>
        </row>
        <row r="87">
          <cell r="D87">
            <v>3010</v>
          </cell>
          <cell r="E87" t="str">
            <v>Norton Free Church of England Primary School</v>
          </cell>
          <cell r="G87">
            <v>209</v>
          </cell>
          <cell r="H87">
            <v>1.9323671497584499E-2</v>
          </cell>
          <cell r="I87">
            <v>0</v>
          </cell>
          <cell r="J87">
            <v>0</v>
          </cell>
          <cell r="K87">
            <v>2.8708133971291901E-2</v>
          </cell>
          <cell r="L87">
            <v>1.4856459330143592</v>
          </cell>
          <cell r="M87">
            <v>0</v>
          </cell>
          <cell r="N87">
            <v>0</v>
          </cell>
        </row>
        <row r="88">
          <cell r="D88">
            <v>2018</v>
          </cell>
          <cell r="E88" t="str">
            <v>Oasis Academy Fir Vale</v>
          </cell>
          <cell r="G88">
            <v>401</v>
          </cell>
          <cell r="H88">
            <v>0.11111111111111099</v>
          </cell>
          <cell r="I88">
            <v>19.47333333333329</v>
          </cell>
          <cell r="J88">
            <v>50.310927318295867</v>
          </cell>
          <cell r="K88">
            <v>0.18546365914787</v>
          </cell>
          <cell r="L88">
            <v>1.6691729323308317</v>
          </cell>
          <cell r="M88">
            <v>0.12546365914787</v>
          </cell>
          <cell r="N88">
            <v>46537.607769423674</v>
          </cell>
        </row>
        <row r="89">
          <cell r="D89">
            <v>2019</v>
          </cell>
          <cell r="E89" t="str">
            <v>Oasis Academy Watermead</v>
          </cell>
          <cell r="G89">
            <v>377</v>
          </cell>
          <cell r="H89">
            <v>8.2857142857142893E-2</v>
          </cell>
          <cell r="I89">
            <v>8.0000000000000142</v>
          </cell>
          <cell r="J89">
            <v>12.566666666666654</v>
          </cell>
          <cell r="K89">
            <v>9.3333333333333296E-2</v>
          </cell>
          <cell r="L89">
            <v>1.1264367816091945</v>
          </cell>
          <cell r="M89">
            <v>3.3333333333333298E-2</v>
          </cell>
          <cell r="N89">
            <v>11624.166666666655</v>
          </cell>
        </row>
        <row r="90">
          <cell r="D90">
            <v>2313</v>
          </cell>
          <cell r="E90" t="str">
            <v>Oughtibridge Primary School</v>
          </cell>
          <cell r="G90">
            <v>416</v>
          </cell>
          <cell r="H90">
            <v>1.9002375296912101E-2</v>
          </cell>
          <cell r="I90">
            <v>0</v>
          </cell>
          <cell r="J90">
            <v>0</v>
          </cell>
          <cell r="K90">
            <v>2.1634615384615401E-2</v>
          </cell>
          <cell r="L90">
            <v>1.1385216346153864</v>
          </cell>
          <cell r="M90">
            <v>0</v>
          </cell>
          <cell r="N90">
            <v>0</v>
          </cell>
        </row>
        <row r="91">
          <cell r="D91">
            <v>2093</v>
          </cell>
          <cell r="E91" t="str">
            <v>Owler Brook Primary School</v>
          </cell>
          <cell r="G91">
            <v>384</v>
          </cell>
          <cell r="H91">
            <v>4.3689320388349502E-2</v>
          </cell>
          <cell r="I91">
            <v>0</v>
          </cell>
          <cell r="J91">
            <v>0</v>
          </cell>
          <cell r="K91">
            <v>4.9868766404199502E-2</v>
          </cell>
          <cell r="L91">
            <v>1.1414406532516779</v>
          </cell>
          <cell r="M91">
            <v>0</v>
          </cell>
          <cell r="N91">
            <v>0</v>
          </cell>
        </row>
        <row r="92">
          <cell r="D92">
            <v>3428</v>
          </cell>
          <cell r="E92" t="str">
            <v>Parson Cross Church of England Primary School</v>
          </cell>
          <cell r="G92">
            <v>201</v>
          </cell>
          <cell r="H92">
            <v>2.4630541871921201E-2</v>
          </cell>
          <cell r="I92">
            <v>0</v>
          </cell>
          <cell r="J92">
            <v>0</v>
          </cell>
          <cell r="K92">
            <v>4.47761194029851E-2</v>
          </cell>
          <cell r="L92">
            <v>1.8179104477611936</v>
          </cell>
          <cell r="M92">
            <v>0</v>
          </cell>
          <cell r="N92">
            <v>0</v>
          </cell>
        </row>
        <row r="93">
          <cell r="D93">
            <v>2332</v>
          </cell>
          <cell r="E93" t="str">
            <v>Phillimore Community Primary School</v>
          </cell>
          <cell r="G93">
            <v>413</v>
          </cell>
          <cell r="H93">
            <v>6.3260340632603398E-2</v>
          </cell>
          <cell r="I93">
            <v>1.3399999999999976</v>
          </cell>
          <cell r="J93">
            <v>11.30737864077669</v>
          </cell>
          <cell r="K93">
            <v>8.7378640776699004E-2</v>
          </cell>
          <cell r="L93">
            <v>1.3812546676624344</v>
          </cell>
          <cell r="M93">
            <v>2.7378640776699006E-2</v>
          </cell>
          <cell r="N93">
            <v>10459.325242718438</v>
          </cell>
        </row>
        <row r="94">
          <cell r="D94">
            <v>3433</v>
          </cell>
          <cell r="E94" t="str">
            <v>Pipworth Community Primary School</v>
          </cell>
          <cell r="G94">
            <v>410</v>
          </cell>
          <cell r="H94">
            <v>7.2164948453608199E-2</v>
          </cell>
          <cell r="I94">
            <v>4.719999999999982</v>
          </cell>
          <cell r="J94">
            <v>30.400000000000151</v>
          </cell>
          <cell r="K94">
            <v>0.134146341463415</v>
          </cell>
          <cell r="L94">
            <v>1.8588850174216092</v>
          </cell>
          <cell r="M94">
            <v>7.4146341463415005E-2</v>
          </cell>
          <cell r="N94">
            <v>28120.000000000138</v>
          </cell>
        </row>
        <row r="95">
          <cell r="D95">
            <v>3427</v>
          </cell>
          <cell r="E95" t="str">
            <v>Porter Croft Church of England Primary Academy</v>
          </cell>
          <cell r="G95">
            <v>213</v>
          </cell>
          <cell r="H95">
            <v>4.2253521126760597E-2</v>
          </cell>
          <cell r="I95">
            <v>0</v>
          </cell>
          <cell r="J95">
            <v>0</v>
          </cell>
          <cell r="K95">
            <v>4.69483568075117E-2</v>
          </cell>
          <cell r="L95">
            <v>1.1111111111111094</v>
          </cell>
          <cell r="M95">
            <v>0</v>
          </cell>
          <cell r="N95">
            <v>0</v>
          </cell>
        </row>
        <row r="96">
          <cell r="D96">
            <v>2347</v>
          </cell>
          <cell r="E96" t="str">
            <v>Prince Edward Primary School</v>
          </cell>
          <cell r="G96">
            <v>411</v>
          </cell>
          <cell r="H96">
            <v>5.6930693069306898E-2</v>
          </cell>
          <cell r="I96">
            <v>0</v>
          </cell>
          <cell r="J96">
            <v>9.4229268292683006</v>
          </cell>
          <cell r="K96">
            <v>8.2926829268292701E-2</v>
          </cell>
          <cell r="L96">
            <v>1.4566277836691421</v>
          </cell>
          <cell r="M96">
            <v>2.2926829268292703E-2</v>
          </cell>
          <cell r="N96">
            <v>8716.2073170731783</v>
          </cell>
        </row>
        <row r="97">
          <cell r="D97">
            <v>2366</v>
          </cell>
          <cell r="E97" t="str">
            <v>Pye Bank CofE Primary School</v>
          </cell>
          <cell r="G97">
            <v>393</v>
          </cell>
          <cell r="H97">
            <v>3.4653465346534698E-2</v>
          </cell>
          <cell r="I97">
            <v>0</v>
          </cell>
          <cell r="J97">
            <v>3.4200000000000075</v>
          </cell>
          <cell r="K97">
            <v>6.8702290076335895E-2</v>
          </cell>
          <cell r="L97">
            <v>1.9825517993456905</v>
          </cell>
          <cell r="M97">
            <v>8.7022900763358974E-3</v>
          </cell>
          <cell r="N97">
            <v>3163.5000000000068</v>
          </cell>
        </row>
        <row r="98">
          <cell r="D98">
            <v>2363</v>
          </cell>
          <cell r="E98" t="str">
            <v>Rainbow Forge Primary Academy</v>
          </cell>
          <cell r="G98">
            <v>288</v>
          </cell>
          <cell r="H98">
            <v>5.78778135048231E-2</v>
          </cell>
          <cell r="I98">
            <v>0</v>
          </cell>
          <cell r="J98">
            <v>6.7199999999999918</v>
          </cell>
          <cell r="K98">
            <v>8.3333333333333301E-2</v>
          </cell>
          <cell r="L98">
            <v>1.4398148148148155</v>
          </cell>
          <cell r="M98">
            <v>2.3333333333333303E-2</v>
          </cell>
          <cell r="N98">
            <v>6215.9999999999927</v>
          </cell>
        </row>
        <row r="99">
          <cell r="D99">
            <v>2334</v>
          </cell>
          <cell r="E99" t="str">
            <v>Reignhead Primary School</v>
          </cell>
          <cell r="G99">
            <v>264</v>
          </cell>
          <cell r="H99">
            <v>4.0740740740740702E-2</v>
          </cell>
          <cell r="I99">
            <v>0</v>
          </cell>
          <cell r="J99">
            <v>0</v>
          </cell>
          <cell r="K99">
            <v>3.4090909090909102E-2</v>
          </cell>
          <cell r="L99">
            <v>0.83677685950413327</v>
          </cell>
          <cell r="M99">
            <v>0</v>
          </cell>
          <cell r="N99">
            <v>0</v>
          </cell>
        </row>
        <row r="100">
          <cell r="D100">
            <v>2338</v>
          </cell>
          <cell r="E100" t="str">
            <v>Rivelin Primary School</v>
          </cell>
          <cell r="G100">
            <v>318</v>
          </cell>
          <cell r="H100">
            <v>7.30994152046784E-2</v>
          </cell>
          <cell r="I100">
            <v>4.4800000000000137</v>
          </cell>
          <cell r="J100">
            <v>0.98309148264985069</v>
          </cell>
          <cell r="K100">
            <v>6.3091482649842295E-2</v>
          </cell>
          <cell r="L100">
            <v>0.86309148264984215</v>
          </cell>
          <cell r="M100">
            <v>3.0914826498422976E-3</v>
          </cell>
          <cell r="N100">
            <v>909.35962145111193</v>
          </cell>
        </row>
        <row r="101">
          <cell r="D101">
            <v>2306</v>
          </cell>
          <cell r="E101" t="str">
            <v>Royd Nursery and Infant School</v>
          </cell>
          <cell r="G101">
            <v>130</v>
          </cell>
          <cell r="H101">
            <v>1.4705882352941201E-2</v>
          </cell>
          <cell r="I101">
            <v>0</v>
          </cell>
          <cell r="J101">
            <v>0</v>
          </cell>
          <cell r="K101">
            <v>1.5384615384615399E-2</v>
          </cell>
          <cell r="L101">
            <v>1.0461538461538455</v>
          </cell>
          <cell r="M101">
            <v>0</v>
          </cell>
          <cell r="N101">
            <v>0</v>
          </cell>
        </row>
        <row r="102">
          <cell r="D102">
            <v>3401</v>
          </cell>
          <cell r="E102" t="str">
            <v>Sacred Heart School, A Catholic Voluntary Academy</v>
          </cell>
          <cell r="G102">
            <v>206</v>
          </cell>
          <cell r="H102">
            <v>4.8309178743961402E-3</v>
          </cell>
          <cell r="I102">
            <v>0</v>
          </cell>
          <cell r="J102">
            <v>0</v>
          </cell>
          <cell r="K102">
            <v>9.7087378640776708E-3</v>
          </cell>
          <cell r="L102">
            <v>2.0097087378640759</v>
          </cell>
          <cell r="M102">
            <v>0</v>
          </cell>
          <cell r="N102">
            <v>0</v>
          </cell>
        </row>
        <row r="103">
          <cell r="D103">
            <v>2369</v>
          </cell>
          <cell r="E103" t="str">
            <v>Sharrow Nursery, Infant and Junior School</v>
          </cell>
          <cell r="G103">
            <v>415</v>
          </cell>
          <cell r="H103">
            <v>3.3898305084745797E-2</v>
          </cell>
          <cell r="I103">
            <v>0</v>
          </cell>
          <cell r="J103">
            <v>0</v>
          </cell>
          <cell r="K103">
            <v>4.10628019323672E-2</v>
          </cell>
          <cell r="L103">
            <v>1.2113526570048312</v>
          </cell>
          <cell r="M103">
            <v>0</v>
          </cell>
          <cell r="N103">
            <v>0</v>
          </cell>
        </row>
        <row r="104">
          <cell r="D104">
            <v>2349</v>
          </cell>
          <cell r="E104" t="str">
            <v>Shooter's Grove Primary School</v>
          </cell>
          <cell r="G104">
            <v>354</v>
          </cell>
          <cell r="H104">
            <v>3.5616438356164397E-2</v>
          </cell>
          <cell r="I104">
            <v>0</v>
          </cell>
          <cell r="J104">
            <v>0</v>
          </cell>
          <cell r="K104">
            <v>3.6723163841807897E-2</v>
          </cell>
          <cell r="L104">
            <v>1.0310734463276829</v>
          </cell>
          <cell r="M104">
            <v>0</v>
          </cell>
          <cell r="N104">
            <v>0</v>
          </cell>
        </row>
        <row r="105">
          <cell r="D105">
            <v>2360</v>
          </cell>
          <cell r="E105" t="str">
            <v>Shortbrook Primary School</v>
          </cell>
          <cell r="G105">
            <v>88</v>
          </cell>
          <cell r="H105">
            <v>7.69230769230769E-2</v>
          </cell>
          <cell r="I105">
            <v>1.539999999999998</v>
          </cell>
          <cell r="J105">
            <v>4.7200000000000317</v>
          </cell>
          <cell r="K105">
            <v>0.11363636363636399</v>
          </cell>
          <cell r="L105">
            <v>1.4772727272727324</v>
          </cell>
          <cell r="M105">
            <v>5.3636363636363996E-2</v>
          </cell>
          <cell r="N105">
            <v>4366.0000000000291</v>
          </cell>
        </row>
        <row r="106">
          <cell r="D106">
            <v>2009</v>
          </cell>
          <cell r="E106" t="str">
            <v>Southey Green Primary School and Nurseries</v>
          </cell>
          <cell r="G106">
            <v>605</v>
          </cell>
          <cell r="H106">
            <v>6.2602965403624394E-2</v>
          </cell>
          <cell r="I106">
            <v>1.5852059308072575</v>
          </cell>
          <cell r="J106">
            <v>11.699999999999996</v>
          </cell>
          <cell r="K106">
            <v>7.9338842975206603E-2</v>
          </cell>
          <cell r="L106">
            <v>1.2673336233144841</v>
          </cell>
          <cell r="M106">
            <v>1.9338842975206605E-2</v>
          </cell>
          <cell r="N106">
            <v>10822.499999999996</v>
          </cell>
        </row>
        <row r="107">
          <cell r="D107">
            <v>2329</v>
          </cell>
          <cell r="E107" t="str">
            <v>Springfield Primary School</v>
          </cell>
          <cell r="G107">
            <v>209</v>
          </cell>
          <cell r="H107">
            <v>9.7087378640776698E-2</v>
          </cell>
          <cell r="I107">
            <v>7.6400000000000006</v>
          </cell>
          <cell r="J107">
            <v>9.4600000000000346</v>
          </cell>
          <cell r="K107">
            <v>0.105263157894737</v>
          </cell>
          <cell r="L107">
            <v>1.0842105263157911</v>
          </cell>
          <cell r="M107">
            <v>4.5263157894737005E-2</v>
          </cell>
          <cell r="N107">
            <v>8750.5000000000327</v>
          </cell>
        </row>
        <row r="108">
          <cell r="D108">
            <v>5202</v>
          </cell>
          <cell r="E108" t="str">
            <v>St Ann's Catholic Primary School, A Voluntary Academy</v>
          </cell>
          <cell r="G108">
            <v>92</v>
          </cell>
          <cell r="H108">
            <v>7.0000000000000007E-2</v>
          </cell>
          <cell r="I108">
            <v>1.0000000000000009</v>
          </cell>
          <cell r="J108">
            <v>0</v>
          </cell>
          <cell r="K108">
            <v>3.2608695652173898E-2</v>
          </cell>
          <cell r="L108">
            <v>0.46583850931676996</v>
          </cell>
          <cell r="M108">
            <v>0</v>
          </cell>
          <cell r="N108">
            <v>0</v>
          </cell>
        </row>
        <row r="109">
          <cell r="D109">
            <v>3402</v>
          </cell>
          <cell r="E109" t="str">
            <v>St Catherine's Catholic Primary School (Hallam)</v>
          </cell>
          <cell r="G109">
            <v>422</v>
          </cell>
          <cell r="H109">
            <v>1.41509433962264E-2</v>
          </cell>
          <cell r="I109">
            <v>0</v>
          </cell>
          <cell r="J109">
            <v>0</v>
          </cell>
          <cell r="K109">
            <v>9.4786729857819895E-3</v>
          </cell>
          <cell r="L109">
            <v>0.66982622432859462</v>
          </cell>
          <cell r="M109">
            <v>0</v>
          </cell>
          <cell r="N109">
            <v>0</v>
          </cell>
        </row>
        <row r="110">
          <cell r="D110">
            <v>2017</v>
          </cell>
          <cell r="E110" t="str">
            <v>St John Fisher Primary, A Catholic Voluntary Academy</v>
          </cell>
          <cell r="G110">
            <v>210</v>
          </cell>
          <cell r="H110">
            <v>3.25581395348837E-2</v>
          </cell>
          <cell r="I110">
            <v>0</v>
          </cell>
          <cell r="J110">
            <v>0</v>
          </cell>
          <cell r="K110">
            <v>3.8095238095238099E-2</v>
          </cell>
          <cell r="L110">
            <v>1.1700680272108852</v>
          </cell>
          <cell r="M110">
            <v>0</v>
          </cell>
          <cell r="N110">
            <v>0</v>
          </cell>
        </row>
        <row r="111">
          <cell r="D111">
            <v>5203</v>
          </cell>
          <cell r="E111" t="str">
            <v>St Joseph's Primary School</v>
          </cell>
          <cell r="G111">
            <v>204</v>
          </cell>
          <cell r="H111">
            <v>1.00502512562814E-2</v>
          </cell>
          <cell r="I111">
            <v>0</v>
          </cell>
          <cell r="J111">
            <v>0</v>
          </cell>
          <cell r="K111">
            <v>1.4705882352941201E-2</v>
          </cell>
          <cell r="L111">
            <v>1.4632352941176505</v>
          </cell>
          <cell r="M111">
            <v>0</v>
          </cell>
          <cell r="N111">
            <v>0</v>
          </cell>
        </row>
        <row r="112">
          <cell r="D112">
            <v>3406</v>
          </cell>
          <cell r="E112" t="str">
            <v>St Marie's School, A Catholic Voluntary Academy</v>
          </cell>
          <cell r="G112">
            <v>217</v>
          </cell>
          <cell r="H112">
            <v>1.6326530612244899E-2</v>
          </cell>
          <cell r="I112">
            <v>0</v>
          </cell>
          <cell r="J112">
            <v>0</v>
          </cell>
          <cell r="K112">
            <v>2.76497695852535E-2</v>
          </cell>
          <cell r="L112">
            <v>1.6935483870967767</v>
          </cell>
          <cell r="M112">
            <v>0</v>
          </cell>
          <cell r="N112">
            <v>0</v>
          </cell>
        </row>
        <row r="113">
          <cell r="D113">
            <v>2020</v>
          </cell>
          <cell r="E113" t="str">
            <v>St Mary's Church of England Primary School</v>
          </cell>
          <cell r="G113">
            <v>197</v>
          </cell>
          <cell r="H113">
            <v>0.130890052356021</v>
          </cell>
          <cell r="I113">
            <v>13.540000000000012</v>
          </cell>
          <cell r="J113">
            <v>18.180000000000025</v>
          </cell>
          <cell r="K113">
            <v>0.15228426395939099</v>
          </cell>
          <cell r="L113">
            <v>1.1634517766497467</v>
          </cell>
          <cell r="M113">
            <v>9.2284263959390989E-2</v>
          </cell>
          <cell r="N113">
            <v>16816.500000000022</v>
          </cell>
        </row>
        <row r="114">
          <cell r="D114">
            <v>3423</v>
          </cell>
          <cell r="E114" t="str">
            <v>St Mary's Primary School, A Catholic Voluntary Academy</v>
          </cell>
          <cell r="G114">
            <v>188</v>
          </cell>
          <cell r="H114">
            <v>1.0638297872340399E-2</v>
          </cell>
          <cell r="I114">
            <v>0</v>
          </cell>
          <cell r="J114">
            <v>0</v>
          </cell>
          <cell r="K114">
            <v>2.6595744680851099E-2</v>
          </cell>
          <cell r="L114">
            <v>2.5000000000000093</v>
          </cell>
          <cell r="M114">
            <v>0</v>
          </cell>
          <cell r="N114">
            <v>0</v>
          </cell>
        </row>
        <row r="115">
          <cell r="D115">
            <v>5207</v>
          </cell>
          <cell r="E115" t="str">
            <v>St Patrick's Catholic Voluntary Academy</v>
          </cell>
          <cell r="G115">
            <v>279</v>
          </cell>
          <cell r="H115">
            <v>2.8571428571428598E-2</v>
          </cell>
          <cell r="I115">
            <v>0</v>
          </cell>
          <cell r="J115">
            <v>0</v>
          </cell>
          <cell r="K115">
            <v>2.8673835125448001E-2</v>
          </cell>
          <cell r="L115">
            <v>1.0035842293906792</v>
          </cell>
          <cell r="M115">
            <v>0</v>
          </cell>
          <cell r="N115">
            <v>0</v>
          </cell>
        </row>
        <row r="116">
          <cell r="D116">
            <v>5208</v>
          </cell>
          <cell r="E116" t="str">
            <v>St Theresa's Catholic Primary School</v>
          </cell>
          <cell r="G116">
            <v>207</v>
          </cell>
          <cell r="H116">
            <v>1.9323671497584499E-2</v>
          </cell>
          <cell r="I116">
            <v>0</v>
          </cell>
          <cell r="J116">
            <v>0</v>
          </cell>
          <cell r="K116">
            <v>1.9323671497584499E-2</v>
          </cell>
          <cell r="L116">
            <v>1</v>
          </cell>
          <cell r="M116">
            <v>0</v>
          </cell>
          <cell r="N116">
            <v>0</v>
          </cell>
        </row>
        <row r="117">
          <cell r="D117">
            <v>3424</v>
          </cell>
          <cell r="E117" t="str">
            <v>St Thomas More Catholic Primary, A Voluntary Academy</v>
          </cell>
          <cell r="G117">
            <v>209</v>
          </cell>
          <cell r="H117">
            <v>2.8436018957346001E-2</v>
          </cell>
          <cell r="I117">
            <v>0</v>
          </cell>
          <cell r="J117">
            <v>0</v>
          </cell>
          <cell r="K117">
            <v>1.9138755980861202E-2</v>
          </cell>
          <cell r="L117">
            <v>0.67304625199361823</v>
          </cell>
          <cell r="M117">
            <v>0</v>
          </cell>
          <cell r="N117">
            <v>0</v>
          </cell>
        </row>
        <row r="118">
          <cell r="D118">
            <v>3414</v>
          </cell>
          <cell r="E118" t="str">
            <v>St Thomas of Canterbury School, a Catholic Voluntary Academy</v>
          </cell>
          <cell r="G118">
            <v>211</v>
          </cell>
          <cell r="H118">
            <v>1.9323671497584499E-2</v>
          </cell>
          <cell r="I118">
            <v>0</v>
          </cell>
          <cell r="J118">
            <v>0</v>
          </cell>
          <cell r="K118">
            <v>1.4218009478673001E-2</v>
          </cell>
          <cell r="L118">
            <v>0.73578199052132942</v>
          </cell>
          <cell r="M118">
            <v>0</v>
          </cell>
          <cell r="N118">
            <v>0</v>
          </cell>
        </row>
        <row r="119">
          <cell r="D119">
            <v>3412</v>
          </cell>
          <cell r="E119" t="str">
            <v>St Wilfrid's Catholic Primary School</v>
          </cell>
          <cell r="G119">
            <v>307</v>
          </cell>
          <cell r="H119">
            <v>9.6153846153846194E-3</v>
          </cell>
          <cell r="I119">
            <v>0</v>
          </cell>
          <cell r="J119">
            <v>0</v>
          </cell>
          <cell r="K119">
            <v>3.2573289902280101E-3</v>
          </cell>
          <cell r="L119">
            <v>0.33876221498371289</v>
          </cell>
          <cell r="M119">
            <v>0</v>
          </cell>
          <cell r="N119">
            <v>0</v>
          </cell>
        </row>
        <row r="120">
          <cell r="D120">
            <v>2294</v>
          </cell>
          <cell r="E120" t="str">
            <v>Stannington Infant School</v>
          </cell>
          <cell r="G120">
            <v>181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>
            <v>0</v>
          </cell>
          <cell r="N120">
            <v>0</v>
          </cell>
        </row>
        <row r="121">
          <cell r="D121">
            <v>2303</v>
          </cell>
          <cell r="E121" t="str">
            <v>Stocksbridge Junior School</v>
          </cell>
          <cell r="G121">
            <v>308</v>
          </cell>
          <cell r="H121">
            <v>2.7027027027027001E-2</v>
          </cell>
          <cell r="I121">
            <v>0</v>
          </cell>
          <cell r="J121">
            <v>0</v>
          </cell>
          <cell r="K121">
            <v>3.2467532467532499E-2</v>
          </cell>
          <cell r="L121">
            <v>1.2012987012987035</v>
          </cell>
          <cell r="M121">
            <v>0</v>
          </cell>
          <cell r="N121">
            <v>0</v>
          </cell>
        </row>
        <row r="122">
          <cell r="D122">
            <v>2302</v>
          </cell>
          <cell r="E122" t="str">
            <v>Stocksbridge Nursery Infant School</v>
          </cell>
          <cell r="G122">
            <v>194</v>
          </cell>
          <cell r="H122">
            <v>1.0638297872340399E-2</v>
          </cell>
          <cell r="I122">
            <v>0</v>
          </cell>
          <cell r="J122">
            <v>0</v>
          </cell>
          <cell r="K122">
            <v>1.03092783505155E-2</v>
          </cell>
          <cell r="L122">
            <v>0.96907216494845938</v>
          </cell>
          <cell r="M122">
            <v>0</v>
          </cell>
          <cell r="N122">
            <v>0</v>
          </cell>
        </row>
        <row r="123">
          <cell r="D123">
            <v>2350</v>
          </cell>
          <cell r="E123" t="str">
            <v>Stradbroke Primary School</v>
          </cell>
          <cell r="G123">
            <v>412</v>
          </cell>
          <cell r="H123">
            <v>4.3269230769230803E-2</v>
          </cell>
          <cell r="I123">
            <v>0</v>
          </cell>
          <cell r="J123">
            <v>0</v>
          </cell>
          <cell r="K123">
            <v>4.3689320388349502E-2</v>
          </cell>
          <cell r="L123">
            <v>1.0097087378640766</v>
          </cell>
          <cell r="M123">
            <v>0</v>
          </cell>
          <cell r="N123">
            <v>0</v>
          </cell>
        </row>
        <row r="124">
          <cell r="D124">
            <v>2230</v>
          </cell>
          <cell r="E124" t="str">
            <v>Tinsley Meadows Primary School</v>
          </cell>
          <cell r="G124">
            <v>543</v>
          </cell>
          <cell r="H124">
            <v>5.4104477611940302E-2</v>
          </cell>
          <cell r="I124">
            <v>0</v>
          </cell>
          <cell r="J124">
            <v>14.420000000000002</v>
          </cell>
          <cell r="K124">
            <v>8.6556169429097607E-2</v>
          </cell>
          <cell r="L124">
            <v>1.5997967866895282</v>
          </cell>
          <cell r="M124">
            <v>2.6556169429097609E-2</v>
          </cell>
          <cell r="N124">
            <v>13338.500000000002</v>
          </cell>
        </row>
        <row r="125">
          <cell r="D125">
            <v>5206</v>
          </cell>
          <cell r="E125" t="str">
            <v>Totley All Saints Church of England Voluntary Aided Primary School</v>
          </cell>
          <cell r="G125">
            <v>214</v>
          </cell>
          <cell r="H125">
            <v>1.8779342723004699E-2</v>
          </cell>
          <cell r="I125">
            <v>0</v>
          </cell>
          <cell r="J125">
            <v>0</v>
          </cell>
          <cell r="K125">
            <v>2.33644859813084E-2</v>
          </cell>
          <cell r="L125">
            <v>1.244158878504672</v>
          </cell>
          <cell r="M125">
            <v>0</v>
          </cell>
          <cell r="N125">
            <v>0</v>
          </cell>
        </row>
        <row r="126">
          <cell r="D126">
            <v>2203</v>
          </cell>
          <cell r="E126" t="str">
            <v>Totley Primary School</v>
          </cell>
          <cell r="G126">
            <v>399</v>
          </cell>
          <cell r="H126">
            <v>1.91256830601093E-2</v>
          </cell>
          <cell r="I126">
            <v>0</v>
          </cell>
          <cell r="J126">
            <v>0</v>
          </cell>
          <cell r="K126">
            <v>2.5062656641604002E-2</v>
          </cell>
          <cell r="L126">
            <v>1.3104189044038657</v>
          </cell>
          <cell r="M126">
            <v>0</v>
          </cell>
          <cell r="N126">
            <v>0</v>
          </cell>
        </row>
        <row r="127">
          <cell r="D127">
            <v>2351</v>
          </cell>
          <cell r="E127" t="str">
            <v>Walkley Primary School</v>
          </cell>
          <cell r="G127">
            <v>345</v>
          </cell>
          <cell r="H127">
            <v>2.6239067055393601E-2</v>
          </cell>
          <cell r="I127">
            <v>0</v>
          </cell>
          <cell r="J127">
            <v>1.3000000000000047</v>
          </cell>
          <cell r="K127">
            <v>6.3768115942028997E-2</v>
          </cell>
          <cell r="L127">
            <v>2.4302737520128814</v>
          </cell>
          <cell r="M127">
            <v>3.7681159420289989E-3</v>
          </cell>
          <cell r="N127">
            <v>1202.5000000000043</v>
          </cell>
        </row>
        <row r="128">
          <cell r="D128">
            <v>3432</v>
          </cell>
          <cell r="E128" t="str">
            <v>Watercliffe Meadow Community Primary School</v>
          </cell>
          <cell r="G128">
            <v>407</v>
          </cell>
          <cell r="H128">
            <v>2.6634382566585998E-2</v>
          </cell>
          <cell r="I128">
            <v>0</v>
          </cell>
          <cell r="J128">
            <v>0</v>
          </cell>
          <cell r="K128">
            <v>3.4653465346534698E-2</v>
          </cell>
          <cell r="L128">
            <v>1.3010801080108008</v>
          </cell>
          <cell r="M128">
            <v>0</v>
          </cell>
          <cell r="N128">
            <v>0</v>
          </cell>
        </row>
        <row r="129">
          <cell r="D129">
            <v>2319</v>
          </cell>
          <cell r="E129" t="str">
            <v>Waterthorpe Infant School</v>
          </cell>
          <cell r="G129">
            <v>124</v>
          </cell>
          <cell r="H129">
            <v>3.125E-2</v>
          </cell>
          <cell r="I129">
            <v>0</v>
          </cell>
          <cell r="J129">
            <v>0</v>
          </cell>
          <cell r="K129">
            <v>1.6129032258064498E-2</v>
          </cell>
          <cell r="L129">
            <v>0.51612903225806395</v>
          </cell>
          <cell r="M129">
            <v>0</v>
          </cell>
          <cell r="N129">
            <v>0</v>
          </cell>
        </row>
        <row r="130">
          <cell r="D130">
            <v>2352</v>
          </cell>
          <cell r="E130" t="str">
            <v>Westways Primary School</v>
          </cell>
          <cell r="G130">
            <v>572</v>
          </cell>
          <cell r="H130">
            <v>7.0175438596491196E-2</v>
          </cell>
          <cell r="I130">
            <v>5.7999999999999829</v>
          </cell>
          <cell r="J130">
            <v>15.679999999999991</v>
          </cell>
          <cell r="K130">
            <v>8.7412587412587395E-2</v>
          </cell>
          <cell r="L130">
            <v>1.2456293706293708</v>
          </cell>
          <cell r="M130">
            <v>2.7412587412587397E-2</v>
          </cell>
          <cell r="N130">
            <v>14503.999999999991</v>
          </cell>
        </row>
        <row r="131">
          <cell r="D131">
            <v>2311</v>
          </cell>
          <cell r="E131" t="str">
            <v>Wharncliffe Side Primary School</v>
          </cell>
          <cell r="G131">
            <v>141</v>
          </cell>
          <cell r="H131">
            <v>3.7313432835820899E-2</v>
          </cell>
          <cell r="I131">
            <v>0</v>
          </cell>
          <cell r="J131">
            <v>0</v>
          </cell>
          <cell r="K131">
            <v>5.6737588652482303E-2</v>
          </cell>
          <cell r="L131">
            <v>1.5205673758865255</v>
          </cell>
          <cell r="M131">
            <v>0</v>
          </cell>
          <cell r="N131">
            <v>0</v>
          </cell>
        </row>
        <row r="132">
          <cell r="D132">
            <v>2040</v>
          </cell>
          <cell r="E132" t="str">
            <v>Whiteways Primary School</v>
          </cell>
          <cell r="G132">
            <v>408</v>
          </cell>
          <cell r="H132">
            <v>3.6319612590799001E-2</v>
          </cell>
          <cell r="I132">
            <v>0</v>
          </cell>
          <cell r="J132">
            <v>4.0800000000000036</v>
          </cell>
          <cell r="K132">
            <v>7.0000000000000007E-2</v>
          </cell>
          <cell r="L132">
            <v>1.9273333333333351</v>
          </cell>
          <cell r="M132">
            <v>1.0000000000000009E-2</v>
          </cell>
          <cell r="N132">
            <v>3774.0000000000032</v>
          </cell>
        </row>
        <row r="133">
          <cell r="D133">
            <v>2027</v>
          </cell>
          <cell r="E133" t="str">
            <v>Wincobank Nursery and Infant School</v>
          </cell>
          <cell r="G133">
            <v>122</v>
          </cell>
          <cell r="H133">
            <v>3.0534351145038201E-2</v>
          </cell>
          <cell r="I133">
            <v>0</v>
          </cell>
          <cell r="J133">
            <v>1.6800000000000017</v>
          </cell>
          <cell r="K133">
            <v>7.3770491803278701E-2</v>
          </cell>
          <cell r="L133">
            <v>2.4159836065573748</v>
          </cell>
          <cell r="M133">
            <v>1.3770491803278703E-2</v>
          </cell>
          <cell r="N133">
            <v>1554.0000000000016</v>
          </cell>
        </row>
        <row r="134">
          <cell r="D134">
            <v>2361</v>
          </cell>
          <cell r="E134" t="str">
            <v>Windmill Hill Primary School</v>
          </cell>
          <cell r="G134">
            <v>317</v>
          </cell>
          <cell r="H134">
            <v>1.9943019943019901E-2</v>
          </cell>
          <cell r="I134">
            <v>0</v>
          </cell>
          <cell r="J134">
            <v>0</v>
          </cell>
          <cell r="K134">
            <v>2.8391167192429002E-2</v>
          </cell>
          <cell r="L134">
            <v>1.4236142406489429</v>
          </cell>
          <cell r="M134">
            <v>0</v>
          </cell>
          <cell r="N134">
            <v>0</v>
          </cell>
        </row>
        <row r="135">
          <cell r="D135">
            <v>2043</v>
          </cell>
          <cell r="E135" t="str">
            <v>Wisewood Community Primary School</v>
          </cell>
          <cell r="G135">
            <v>153</v>
          </cell>
          <cell r="H135">
            <v>4.3209876543209902E-2</v>
          </cell>
          <cell r="I135">
            <v>0</v>
          </cell>
          <cell r="J135">
            <v>3.819999999999999</v>
          </cell>
          <cell r="K135">
            <v>8.4967320261437898E-2</v>
          </cell>
          <cell r="L135">
            <v>1.9663865546218473</v>
          </cell>
          <cell r="M135">
            <v>2.49673202614379E-2</v>
          </cell>
          <cell r="N135">
            <v>3533.4999999999991</v>
          </cell>
        </row>
        <row r="136">
          <cell r="D136">
            <v>2139</v>
          </cell>
          <cell r="E136" t="str">
            <v>Woodhouse West Primary School</v>
          </cell>
          <cell r="G136">
            <v>343</v>
          </cell>
          <cell r="H136">
            <v>9.0379008746355696E-2</v>
          </cell>
          <cell r="I136">
            <v>10.420000000000005</v>
          </cell>
          <cell r="J136">
            <v>14.420000000000135</v>
          </cell>
          <cell r="K136">
            <v>0.102040816326531</v>
          </cell>
          <cell r="L136">
            <v>1.1290322580645202</v>
          </cell>
          <cell r="M136">
            <v>4.2040816326531005E-2</v>
          </cell>
          <cell r="N136">
            <v>13338.500000000126</v>
          </cell>
        </row>
        <row r="137">
          <cell r="D137">
            <v>2034</v>
          </cell>
          <cell r="E137" t="str">
            <v>Woodlands Primary (Valley Park) Community School</v>
          </cell>
          <cell r="G137">
            <v>354</v>
          </cell>
          <cell r="H137">
            <v>7.1979434447300802E-2</v>
          </cell>
          <cell r="I137">
            <v>4.671979434447314</v>
          </cell>
          <cell r="J137">
            <v>5.8364872521246483</v>
          </cell>
          <cell r="K137">
            <v>7.6487252124645896E-2</v>
          </cell>
          <cell r="L137">
            <v>1.0626264670174015</v>
          </cell>
          <cell r="M137">
            <v>1.6487252124645899E-2</v>
          </cell>
          <cell r="N137">
            <v>5398.7507082152997</v>
          </cell>
        </row>
        <row r="138">
          <cell r="D138">
            <v>2324</v>
          </cell>
          <cell r="E138" t="str">
            <v>Woodseats Primary School</v>
          </cell>
          <cell r="G138">
            <v>375</v>
          </cell>
          <cell r="H138">
            <v>4.1322314049586799E-2</v>
          </cell>
          <cell r="I138">
            <v>0</v>
          </cell>
          <cell r="J138">
            <v>0</v>
          </cell>
          <cell r="K138">
            <v>5.06666666666667E-2</v>
          </cell>
          <cell r="L138">
            <v>1.2261333333333335</v>
          </cell>
          <cell r="M138">
            <v>0</v>
          </cell>
          <cell r="N138">
            <v>0</v>
          </cell>
        </row>
        <row r="139">
          <cell r="D139">
            <v>2327</v>
          </cell>
          <cell r="E139" t="str">
            <v>Woodthorpe Primary School</v>
          </cell>
          <cell r="G139">
            <v>396</v>
          </cell>
          <cell r="H139">
            <v>5.7071960297766698E-2</v>
          </cell>
          <cell r="I139">
            <v>0</v>
          </cell>
          <cell r="J139">
            <v>0</v>
          </cell>
          <cell r="K139">
            <v>3.7878787878787901E-2</v>
          </cell>
          <cell r="L139">
            <v>0.66370223978919729</v>
          </cell>
          <cell r="M139">
            <v>0</v>
          </cell>
          <cell r="N139">
            <v>0</v>
          </cell>
        </row>
        <row r="140">
          <cell r="D140">
            <v>2321</v>
          </cell>
          <cell r="E140" t="str">
            <v>Wybourn Community Primary &amp; Nursery School</v>
          </cell>
          <cell r="G140">
            <v>413</v>
          </cell>
          <cell r="H140">
            <v>3.8647342995169101E-2</v>
          </cell>
          <cell r="I140">
            <v>0</v>
          </cell>
          <cell r="J140">
            <v>0</v>
          </cell>
          <cell r="K140">
            <v>3.1476997578692503E-2</v>
          </cell>
          <cell r="L140">
            <v>0.81446731234866809</v>
          </cell>
          <cell r="M140">
            <v>0</v>
          </cell>
          <cell r="N140">
            <v>0</v>
          </cell>
        </row>
        <row r="142">
          <cell r="E142" t="str">
            <v>Total Primary</v>
          </cell>
          <cell r="G142">
            <v>43067</v>
          </cell>
          <cell r="I142">
            <v>203.86166078372611</v>
          </cell>
          <cell r="J142">
            <v>445.81652471402253</v>
          </cell>
          <cell r="M142">
            <v>1.0351696768152473E-2</v>
          </cell>
          <cell r="N142">
            <v>412380.28536047082</v>
          </cell>
        </row>
        <row r="144">
          <cell r="E144" t="str">
            <v>Secondary</v>
          </cell>
        </row>
        <row r="145">
          <cell r="K145">
            <v>57</v>
          </cell>
        </row>
        <row r="146">
          <cell r="D146">
            <v>5401</v>
          </cell>
          <cell r="E146" t="str">
            <v>All Saints' Catholic High School</v>
          </cell>
          <cell r="G146">
            <v>1023</v>
          </cell>
          <cell r="H146">
            <v>1.0858835143139201E-2</v>
          </cell>
          <cell r="I146">
            <v>0</v>
          </cell>
          <cell r="J146">
            <v>0</v>
          </cell>
          <cell r="K146">
            <v>2.4509803921568599E-2</v>
          </cell>
          <cell r="L146">
            <v>2.2571301247771789</v>
          </cell>
          <cell r="M146">
            <v>0</v>
          </cell>
          <cell r="N146">
            <v>0</v>
          </cell>
        </row>
        <row r="147">
          <cell r="D147">
            <v>4017</v>
          </cell>
          <cell r="E147" t="str">
            <v>Bradfield School</v>
          </cell>
          <cell r="G147">
            <v>1081</v>
          </cell>
          <cell r="H147">
            <v>2.2492970946579201E-2</v>
          </cell>
          <cell r="I147">
            <v>0</v>
          </cell>
          <cell r="J147">
            <v>0</v>
          </cell>
          <cell r="K147">
            <v>2.2242817423540302E-2</v>
          </cell>
          <cell r="L147">
            <v>0.98887859128822886</v>
          </cell>
          <cell r="M147">
            <v>0</v>
          </cell>
          <cell r="N147">
            <v>0</v>
          </cell>
        </row>
        <row r="148">
          <cell r="D148">
            <v>4000</v>
          </cell>
          <cell r="E148" t="str">
            <v>Chaucer School</v>
          </cell>
          <cell r="G148">
            <v>820</v>
          </cell>
          <cell r="H148">
            <v>1.8475750577367198E-2</v>
          </cell>
          <cell r="I148">
            <v>0</v>
          </cell>
          <cell r="J148">
            <v>0</v>
          </cell>
          <cell r="K148">
            <v>2.69277845777234E-2</v>
          </cell>
          <cell r="L148">
            <v>1.4574663402692796</v>
          </cell>
          <cell r="M148">
            <v>0</v>
          </cell>
          <cell r="N148">
            <v>0</v>
          </cell>
        </row>
        <row r="149">
          <cell r="D149">
            <v>4012</v>
          </cell>
          <cell r="E149" t="str">
            <v>Ecclesfield School</v>
          </cell>
          <cell r="G149">
            <v>1676</v>
          </cell>
          <cell r="H149">
            <v>1.9434628975265E-2</v>
          </cell>
          <cell r="I149">
            <v>0</v>
          </cell>
          <cell r="J149">
            <v>0</v>
          </cell>
          <cell r="K149">
            <v>1.8540669856459299E-2</v>
          </cell>
          <cell r="L149">
            <v>0.95400173988690662</v>
          </cell>
          <cell r="M149">
            <v>0</v>
          </cell>
          <cell r="N149">
            <v>0</v>
          </cell>
        </row>
        <row r="150">
          <cell r="D150">
            <v>4280</v>
          </cell>
          <cell r="E150" t="str">
            <v>Fir Vale School</v>
          </cell>
          <cell r="G150">
            <v>986</v>
          </cell>
          <cell r="H150">
            <v>6.7761806981519498E-2</v>
          </cell>
          <cell r="I150">
            <v>7.5832854209445522</v>
          </cell>
          <cell r="J150">
            <v>38.136032553407972</v>
          </cell>
          <cell r="K150">
            <v>9.8677517802644998E-2</v>
          </cell>
          <cell r="L150">
            <v>1.4562409445420643</v>
          </cell>
          <cell r="M150">
            <v>3.8677517802645001E-2</v>
          </cell>
          <cell r="N150">
            <v>50720.923296032604</v>
          </cell>
        </row>
        <row r="151">
          <cell r="D151">
            <v>4003</v>
          </cell>
          <cell r="E151" t="str">
            <v>Firth Park Academy</v>
          </cell>
          <cell r="G151">
            <v>1142</v>
          </cell>
          <cell r="H151">
            <v>5.5749128919860599E-2</v>
          </cell>
          <cell r="I151">
            <v>0</v>
          </cell>
          <cell r="J151">
            <v>0</v>
          </cell>
          <cell r="K151">
            <v>5.9701492537313397E-2</v>
          </cell>
          <cell r="L151">
            <v>1.0708955223880596</v>
          </cell>
          <cell r="M151">
            <v>0</v>
          </cell>
          <cell r="N151">
            <v>0</v>
          </cell>
        </row>
        <row r="152">
          <cell r="D152">
            <v>4007</v>
          </cell>
          <cell r="E152" t="str">
            <v>Forge Valley School</v>
          </cell>
          <cell r="G152">
            <v>1210</v>
          </cell>
          <cell r="H152">
            <v>1.5371477369769401E-2</v>
          </cell>
          <cell r="I152">
            <v>0</v>
          </cell>
          <cell r="J152">
            <v>0</v>
          </cell>
          <cell r="K152">
            <v>1.9867549668874201E-2</v>
          </cell>
          <cell r="L152">
            <v>1.2924944812362071</v>
          </cell>
          <cell r="M152">
            <v>0</v>
          </cell>
          <cell r="N152">
            <v>0</v>
          </cell>
        </row>
        <row r="153">
          <cell r="D153">
            <v>4278</v>
          </cell>
          <cell r="E153" t="str">
            <v>Handsworth Grange Community Sports College</v>
          </cell>
          <cell r="G153">
            <v>1015</v>
          </cell>
          <cell r="H153">
            <v>2.6264591439688699E-2</v>
          </cell>
          <cell r="I153">
            <v>0</v>
          </cell>
          <cell r="J153">
            <v>0</v>
          </cell>
          <cell r="K153">
            <v>2.2772277227722799E-2</v>
          </cell>
          <cell r="L153">
            <v>0.86703337000366865</v>
          </cell>
          <cell r="M153">
            <v>0</v>
          </cell>
          <cell r="N153">
            <v>0</v>
          </cell>
        </row>
        <row r="154">
          <cell r="D154">
            <v>4257</v>
          </cell>
          <cell r="E154" t="str">
            <v>High Storrs School</v>
          </cell>
          <cell r="G154">
            <v>1206</v>
          </cell>
          <cell r="H154">
            <v>1.0761589403973501E-2</v>
          </cell>
          <cell r="I154">
            <v>0</v>
          </cell>
          <cell r="J154">
            <v>0</v>
          </cell>
          <cell r="K154">
            <v>1.7456359102244402E-2</v>
          </cell>
          <cell r="L154">
            <v>1.6220985996547119</v>
          </cell>
          <cell r="M154">
            <v>0</v>
          </cell>
          <cell r="N154">
            <v>0</v>
          </cell>
        </row>
        <row r="155">
          <cell r="D155">
            <v>4230</v>
          </cell>
          <cell r="E155" t="str">
            <v>King Ecgbert School</v>
          </cell>
          <cell r="G155">
            <v>1034</v>
          </cell>
          <cell r="H155">
            <v>1.46341463414634E-2</v>
          </cell>
          <cell r="I155">
            <v>0</v>
          </cell>
          <cell r="J155">
            <v>0</v>
          </cell>
          <cell r="K155">
            <v>1.6441005802707898E-2</v>
          </cell>
          <cell r="L155">
            <v>1.1234687298517074</v>
          </cell>
          <cell r="M155">
            <v>0</v>
          </cell>
          <cell r="N155">
            <v>0</v>
          </cell>
        </row>
        <row r="156">
          <cell r="D156">
            <v>4259</v>
          </cell>
          <cell r="E156" t="str">
            <v>King Edward VII School</v>
          </cell>
          <cell r="G156">
            <v>1135</v>
          </cell>
          <cell r="H156">
            <v>3.2315978456014402E-2</v>
          </cell>
          <cell r="I156">
            <v>0</v>
          </cell>
          <cell r="J156">
            <v>0</v>
          </cell>
          <cell r="K156">
            <v>4.4130626654898503E-2</v>
          </cell>
          <cell r="L156">
            <v>1.3655977248210243</v>
          </cell>
          <cell r="M156">
            <v>0</v>
          </cell>
          <cell r="N156">
            <v>0</v>
          </cell>
        </row>
        <row r="157">
          <cell r="D157">
            <v>4279</v>
          </cell>
          <cell r="E157" t="str">
            <v>Meadowhead School Academy Trust</v>
          </cell>
          <cell r="G157">
            <v>1623</v>
          </cell>
          <cell r="H157">
            <v>2.01005025125628E-2</v>
          </cell>
          <cell r="I157">
            <v>0</v>
          </cell>
          <cell r="J157">
            <v>0</v>
          </cell>
          <cell r="K157">
            <v>3.57803824799506E-2</v>
          </cell>
          <cell r="L157">
            <v>1.7800740283775436</v>
          </cell>
          <cell r="M157">
            <v>0</v>
          </cell>
          <cell r="N157">
            <v>0</v>
          </cell>
        </row>
        <row r="158">
          <cell r="D158">
            <v>4015</v>
          </cell>
          <cell r="E158" t="str">
            <v>Mercia School</v>
          </cell>
          <cell r="G158">
            <v>716</v>
          </cell>
          <cell r="H158">
            <v>0</v>
          </cell>
          <cell r="I158">
            <v>0</v>
          </cell>
          <cell r="J158">
            <v>0</v>
          </cell>
          <cell r="K158">
            <v>1.15131578947368E-2</v>
          </cell>
          <cell r="L158" t="e">
            <v>#DIV/0!</v>
          </cell>
          <cell r="M158">
            <v>0</v>
          </cell>
          <cell r="N158">
            <v>0</v>
          </cell>
        </row>
        <row r="159">
          <cell r="D159">
            <v>4008</v>
          </cell>
          <cell r="E159" t="str">
            <v>Newfield Secondary School</v>
          </cell>
          <cell r="G159">
            <v>1032</v>
          </cell>
          <cell r="H159">
            <v>2.8901734104046201E-2</v>
          </cell>
          <cell r="I159">
            <v>0</v>
          </cell>
          <cell r="J159">
            <v>0</v>
          </cell>
          <cell r="K159">
            <v>3.01556420233463E-2</v>
          </cell>
          <cell r="L159">
            <v>1.0433852140077835</v>
          </cell>
          <cell r="M159">
            <v>0</v>
          </cell>
          <cell r="N159">
            <v>0</v>
          </cell>
        </row>
        <row r="160">
          <cell r="D160">
            <v>5400</v>
          </cell>
          <cell r="E160" t="str">
            <v>Notre Dame High School</v>
          </cell>
          <cell r="G160">
            <v>1066</v>
          </cell>
          <cell r="H160">
            <v>4.7080979284369103E-3</v>
          </cell>
          <cell r="I160">
            <v>0</v>
          </cell>
          <cell r="J160">
            <v>0</v>
          </cell>
          <cell r="K160">
            <v>1.12888052681091E-2</v>
          </cell>
          <cell r="L160">
            <v>2.3977422389463734</v>
          </cell>
          <cell r="M160">
            <v>0</v>
          </cell>
          <cell r="N160">
            <v>0</v>
          </cell>
        </row>
        <row r="161">
          <cell r="D161">
            <v>4006</v>
          </cell>
          <cell r="E161" t="str">
            <v>Outwood Academy City</v>
          </cell>
          <cell r="G161">
            <v>1128</v>
          </cell>
          <cell r="H161">
            <v>2.7312775330396499E-2</v>
          </cell>
          <cell r="I161">
            <v>0</v>
          </cell>
          <cell r="J161">
            <v>0</v>
          </cell>
          <cell r="K161">
            <v>3.7300177619893397E-2</v>
          </cell>
          <cell r="L161">
            <v>1.3656677935025474</v>
          </cell>
          <cell r="M161">
            <v>0</v>
          </cell>
          <cell r="N161">
            <v>0</v>
          </cell>
        </row>
        <row r="162">
          <cell r="D162">
            <v>6907</v>
          </cell>
          <cell r="E162" t="str">
            <v>Parkwood E-Act Academy</v>
          </cell>
          <cell r="G162">
            <v>806</v>
          </cell>
          <cell r="H162">
            <v>7.7490774907749096E-2</v>
          </cell>
          <cell r="I162">
            <v>14.254981549815515</v>
          </cell>
          <cell r="J162">
            <v>21.070711610486907</v>
          </cell>
          <cell r="K162">
            <v>8.6142322097378293E-2</v>
          </cell>
          <cell r="L162">
            <v>1.1116461565899767</v>
          </cell>
          <cell r="M162">
            <v>2.6142322097378295E-2</v>
          </cell>
          <cell r="N162">
            <v>28024.046441947587</v>
          </cell>
        </row>
        <row r="163">
          <cell r="D163">
            <v>6905</v>
          </cell>
          <cell r="E163" t="str">
            <v>Sheffield Park Academy</v>
          </cell>
          <cell r="G163">
            <v>1010</v>
          </cell>
          <cell r="H163">
            <v>3.45508390918065E-2</v>
          </cell>
          <cell r="I163">
            <v>0</v>
          </cell>
          <cell r="J163">
            <v>0</v>
          </cell>
          <cell r="K163">
            <v>2.59481037924152E-2</v>
          </cell>
          <cell r="L163">
            <v>0.75101226119190312</v>
          </cell>
          <cell r="M163">
            <v>0</v>
          </cell>
          <cell r="N163">
            <v>0</v>
          </cell>
        </row>
        <row r="164">
          <cell r="D164">
            <v>6906</v>
          </cell>
          <cell r="E164" t="str">
            <v>Sheffield Springs Academy</v>
          </cell>
          <cell r="G164">
            <v>939</v>
          </cell>
          <cell r="H164">
            <v>6.3731170336037105E-2</v>
          </cell>
          <cell r="I164">
            <v>3.2274623406720973</v>
          </cell>
          <cell r="J164">
            <v>37.258070739549872</v>
          </cell>
          <cell r="K164">
            <v>9.9678456591639902E-2</v>
          </cell>
          <cell r="L164">
            <v>1.5640456007015491</v>
          </cell>
          <cell r="M164">
            <v>3.9678456591639905E-2</v>
          </cell>
          <cell r="N164">
            <v>49553.234083601332</v>
          </cell>
        </row>
        <row r="165">
          <cell r="D165">
            <v>4229</v>
          </cell>
          <cell r="E165" t="str">
            <v>Silverdale School</v>
          </cell>
          <cell r="G165">
            <v>1015</v>
          </cell>
          <cell r="H165">
            <v>1.2081784386617099E-2</v>
          </cell>
          <cell r="I165">
            <v>0</v>
          </cell>
          <cell r="J165">
            <v>0</v>
          </cell>
          <cell r="K165">
            <v>1.5779092702169598E-2</v>
          </cell>
          <cell r="L165">
            <v>1.3060233651949607</v>
          </cell>
          <cell r="M165">
            <v>0</v>
          </cell>
          <cell r="N165">
            <v>0</v>
          </cell>
        </row>
        <row r="166">
          <cell r="D166">
            <v>4271</v>
          </cell>
          <cell r="E166" t="str">
            <v>Stocksbridge High School</v>
          </cell>
          <cell r="G166">
            <v>798</v>
          </cell>
          <cell r="H166">
            <v>2.75E-2</v>
          </cell>
          <cell r="I166">
            <v>0</v>
          </cell>
          <cell r="J166">
            <v>0</v>
          </cell>
          <cell r="K166">
            <v>2.13032581453634E-2</v>
          </cell>
          <cell r="L166">
            <v>0.77466393255866905</v>
          </cell>
          <cell r="M166">
            <v>0</v>
          </cell>
          <cell r="N166">
            <v>0</v>
          </cell>
        </row>
        <row r="167">
          <cell r="D167">
            <v>4234</v>
          </cell>
          <cell r="E167" t="str">
            <v>Tapton School</v>
          </cell>
          <cell r="G167">
            <v>1354</v>
          </cell>
          <cell r="H167">
            <v>2.3238380809595199E-2</v>
          </cell>
          <cell r="I167">
            <v>0</v>
          </cell>
          <cell r="J167">
            <v>0</v>
          </cell>
          <cell r="K167">
            <v>2.73668639053254E-2</v>
          </cell>
          <cell r="L167">
            <v>1.1776579499904545</v>
          </cell>
          <cell r="M167">
            <v>0</v>
          </cell>
          <cell r="N167">
            <v>0</v>
          </cell>
        </row>
        <row r="168">
          <cell r="D168">
            <v>4276</v>
          </cell>
          <cell r="E168" t="str">
            <v>The Birley Academy</v>
          </cell>
          <cell r="G168">
            <v>1074</v>
          </cell>
          <cell r="H168">
            <v>2.7829313543599299E-2</v>
          </cell>
          <cell r="I168">
            <v>0</v>
          </cell>
          <cell r="J168">
            <v>0</v>
          </cell>
          <cell r="K168">
            <v>3.7348272642390302E-2</v>
          </cell>
          <cell r="L168">
            <v>1.3420479302832229</v>
          </cell>
          <cell r="M168">
            <v>0</v>
          </cell>
          <cell r="N168">
            <v>0</v>
          </cell>
        </row>
        <row r="169">
          <cell r="D169">
            <v>4004</v>
          </cell>
          <cell r="E169" t="str">
            <v>UTC Sheffield City Centre</v>
          </cell>
          <cell r="G169">
            <v>313</v>
          </cell>
          <cell r="H169">
            <v>4.3624161073825503E-2</v>
          </cell>
          <cell r="I169">
            <v>0</v>
          </cell>
          <cell r="J169">
            <v>0</v>
          </cell>
          <cell r="K169">
            <v>2.8753993610223599E-2</v>
          </cell>
          <cell r="L169">
            <v>0.65913000737281791</v>
          </cell>
          <cell r="M169">
            <v>0</v>
          </cell>
          <cell r="N169">
            <v>0</v>
          </cell>
        </row>
        <row r="170">
          <cell r="D170">
            <v>4010</v>
          </cell>
          <cell r="E170" t="str">
            <v>UTC Sheffield Olympic Legacy Park</v>
          </cell>
          <cell r="G170">
            <v>302</v>
          </cell>
          <cell r="H170">
            <v>3.03030303030303E-2</v>
          </cell>
          <cell r="I170">
            <v>0</v>
          </cell>
          <cell r="J170">
            <v>0</v>
          </cell>
          <cell r="K170">
            <v>3.6423841059602599E-2</v>
          </cell>
          <cell r="L170">
            <v>1.2019867549668859</v>
          </cell>
          <cell r="M170">
            <v>0</v>
          </cell>
          <cell r="N170">
            <v>0</v>
          </cell>
        </row>
        <row r="171">
          <cell r="D171">
            <v>4013</v>
          </cell>
          <cell r="E171" t="str">
            <v>Westfield School</v>
          </cell>
          <cell r="G171">
            <v>1191</v>
          </cell>
          <cell r="H171">
            <v>1.8421052631578901E-2</v>
          </cell>
          <cell r="I171">
            <v>0</v>
          </cell>
          <cell r="J171">
            <v>0</v>
          </cell>
          <cell r="K171">
            <v>2.1848739495798301E-2</v>
          </cell>
          <cell r="L171">
            <v>1.1860744297719108</v>
          </cell>
          <cell r="M171">
            <v>0</v>
          </cell>
          <cell r="N171">
            <v>0</v>
          </cell>
        </row>
        <row r="172">
          <cell r="D172">
            <v>4016</v>
          </cell>
          <cell r="E172" t="str">
            <v>Yewlands Academy</v>
          </cell>
          <cell r="G172">
            <v>876</v>
          </cell>
          <cell r="H172">
            <v>1.26728110599078E-2</v>
          </cell>
          <cell r="I172">
            <v>0</v>
          </cell>
          <cell r="J172">
            <v>0</v>
          </cell>
          <cell r="K172">
            <v>2.4E-2</v>
          </cell>
          <cell r="L172">
            <v>1.893818181818187</v>
          </cell>
          <cell r="M172">
            <v>0</v>
          </cell>
          <cell r="N172">
            <v>0</v>
          </cell>
        </row>
        <row r="173">
          <cell r="D173">
            <v>0</v>
          </cell>
          <cell r="E173">
            <v>0</v>
          </cell>
        </row>
        <row r="174">
          <cell r="D174">
            <v>0</v>
          </cell>
          <cell r="E174" t="str">
            <v>Total Secondary</v>
          </cell>
          <cell r="G174">
            <v>27571</v>
          </cell>
          <cell r="I174">
            <v>25.065729311432165</v>
          </cell>
          <cell r="J174">
            <v>96.464814903444761</v>
          </cell>
          <cell r="M174">
            <v>3.4987782417556404E-3</v>
          </cell>
          <cell r="N174">
            <v>128298.20382158153</v>
          </cell>
        </row>
        <row r="175">
          <cell r="D175">
            <v>0</v>
          </cell>
          <cell r="E175">
            <v>0</v>
          </cell>
        </row>
        <row r="176">
          <cell r="D176">
            <v>0</v>
          </cell>
          <cell r="E176" t="str">
            <v>Middle Deemed Secondary</v>
          </cell>
        </row>
        <row r="177">
          <cell r="D177">
            <v>0</v>
          </cell>
          <cell r="E177">
            <v>0</v>
          </cell>
        </row>
        <row r="178">
          <cell r="D178">
            <v>4014</v>
          </cell>
          <cell r="E178" t="str">
            <v>Astrea Academy Sheffield</v>
          </cell>
          <cell r="G178">
            <v>891.5</v>
          </cell>
          <cell r="H178">
            <v>5.3571428571428548E-2</v>
          </cell>
          <cell r="I178">
            <v>6.925977644240878</v>
          </cell>
          <cell r="J178">
            <v>33.088993344425937</v>
          </cell>
          <cell r="K178">
            <v>0.13181676372712145</v>
          </cell>
          <cell r="L178">
            <v>2.460579589572935</v>
          </cell>
          <cell r="M178">
            <v>3.7116089001038625E-2</v>
          </cell>
          <cell r="N178">
            <v>33391.286148086496</v>
          </cell>
        </row>
        <row r="179">
          <cell r="D179">
            <v>4225</v>
          </cell>
          <cell r="E179" t="str">
            <v>Hinde House 3-16 School</v>
          </cell>
          <cell r="G179">
            <v>1282</v>
          </cell>
          <cell r="H179">
            <v>4.5508399393297649E-2</v>
          </cell>
          <cell r="I179">
            <v>0</v>
          </cell>
          <cell r="J179">
            <v>0</v>
          </cell>
          <cell r="K179">
            <v>4.5081967213114749E-2</v>
          </cell>
          <cell r="L179">
            <v>0.9906295939679719</v>
          </cell>
          <cell r="M179">
            <v>0</v>
          </cell>
          <cell r="N179">
            <v>0</v>
          </cell>
        </row>
        <row r="180">
          <cell r="D180">
            <v>4005</v>
          </cell>
          <cell r="E180" t="str">
            <v>Oasis Academy Don Valley</v>
          </cell>
          <cell r="G180">
            <v>997.75</v>
          </cell>
          <cell r="H180">
            <v>6.1252428899487753E-2</v>
          </cell>
          <cell r="I180">
            <v>0</v>
          </cell>
          <cell r="J180">
            <v>0</v>
          </cell>
          <cell r="K180">
            <v>5.5842827928717503E-2</v>
          </cell>
          <cell r="L180">
            <v>0.91168348638635799</v>
          </cell>
          <cell r="M180">
            <v>0</v>
          </cell>
          <cell r="N180">
            <v>0</v>
          </cell>
        </row>
        <row r="182">
          <cell r="E182" t="str">
            <v>Total Middle Deemed Secondary</v>
          </cell>
          <cell r="G182">
            <v>3171.25</v>
          </cell>
          <cell r="I182">
            <v>6.925977644240878</v>
          </cell>
          <cell r="J182">
            <v>33.088993344425937</v>
          </cell>
          <cell r="M182">
            <v>1.0434053872897418E-2</v>
          </cell>
          <cell r="N182">
            <v>33391.286148086496</v>
          </cell>
        </row>
        <row r="184">
          <cell r="E184" t="str">
            <v>Total All Schools</v>
          </cell>
          <cell r="G184">
            <v>73809.25</v>
          </cell>
          <cell r="I184">
            <v>235.85336773939915</v>
          </cell>
          <cell r="J184">
            <v>575.37033296189327</v>
          </cell>
          <cell r="M184">
            <v>7.7953689132716194E-3</v>
          </cell>
          <cell r="N184">
            <v>574069.77533013886</v>
          </cell>
        </row>
        <row r="185">
          <cell r="G185">
            <v>0</v>
          </cell>
        </row>
        <row r="186">
          <cell r="D186">
            <v>4014</v>
          </cell>
          <cell r="E186" t="str">
            <v>Astrea Academy - Woodside x 7/12</v>
          </cell>
          <cell r="G186">
            <v>196</v>
          </cell>
          <cell r="H186">
            <v>6.6037735849056603E-2</v>
          </cell>
          <cell r="I186">
            <v>0.85735849056603797</v>
          </cell>
          <cell r="J186">
            <v>26.215</v>
          </cell>
          <cell r="K186">
            <v>0.19375000000000001</v>
          </cell>
          <cell r="M186">
            <v>0.13375000000000001</v>
          </cell>
          <cell r="N186">
            <v>24248.875</v>
          </cell>
        </row>
        <row r="187">
          <cell r="D187">
            <v>4014</v>
          </cell>
          <cell r="E187" t="str">
            <v>Astrea Academy - Woodside x 7/12</v>
          </cell>
          <cell r="G187">
            <v>695.5</v>
          </cell>
          <cell r="H187">
            <v>7.1269487750556804E-2</v>
          </cell>
          <cell r="I187">
            <v>6.0686191536748399</v>
          </cell>
          <cell r="J187">
            <v>6.8739933444259345</v>
          </cell>
          <cell r="K187">
            <v>6.9883527454242894E-2</v>
          </cell>
          <cell r="M187">
            <v>9.8835274542428964E-3</v>
          </cell>
          <cell r="N187">
            <v>9142.4111480864922</v>
          </cell>
        </row>
        <row r="188">
          <cell r="G188">
            <v>891.5</v>
          </cell>
          <cell r="H188">
            <v>5.3571428571428548E-2</v>
          </cell>
          <cell r="I188">
            <v>6.925977644240878</v>
          </cell>
          <cell r="J188">
            <v>33.088993344425937</v>
          </cell>
          <cell r="K188">
            <v>0.13181676372712145</v>
          </cell>
          <cell r="M188">
            <v>3.7116089001038625E-2</v>
          </cell>
          <cell r="N188">
            <v>33391.286148086496</v>
          </cell>
        </row>
        <row r="189">
          <cell r="I189">
            <v>0</v>
          </cell>
        </row>
        <row r="190">
          <cell r="D190">
            <v>4225</v>
          </cell>
          <cell r="E190" t="str">
            <v>Hinde House 3-16 School</v>
          </cell>
          <cell r="G190">
            <v>427</v>
          </cell>
          <cell r="H190">
            <v>3.5377358490566002E-2</v>
          </cell>
          <cell r="I190">
            <v>0</v>
          </cell>
          <cell r="J190">
            <v>0</v>
          </cell>
          <cell r="K190">
            <v>4.91803278688525E-2</v>
          </cell>
          <cell r="M190">
            <v>0</v>
          </cell>
          <cell r="N190">
            <v>0</v>
          </cell>
        </row>
        <row r="191">
          <cell r="D191">
            <v>4225</v>
          </cell>
          <cell r="E191" t="str">
            <v>Hinde House 3-16 School</v>
          </cell>
          <cell r="G191">
            <v>855</v>
          </cell>
          <cell r="H191">
            <v>3.6643026004728102E-2</v>
          </cell>
          <cell r="I191">
            <v>0</v>
          </cell>
          <cell r="J191">
            <v>0</v>
          </cell>
          <cell r="K191">
            <v>4.0983606557376998E-2</v>
          </cell>
          <cell r="M191">
            <v>0</v>
          </cell>
          <cell r="N191">
            <v>0</v>
          </cell>
        </row>
        <row r="192">
          <cell r="G192">
            <v>1282</v>
          </cell>
          <cell r="H192">
            <v>4.5508399393297649E-2</v>
          </cell>
          <cell r="I192">
            <v>0</v>
          </cell>
          <cell r="J192">
            <v>0</v>
          </cell>
          <cell r="K192">
            <v>4.5081967213114749E-2</v>
          </cell>
          <cell r="M192">
            <v>0</v>
          </cell>
          <cell r="N192">
            <v>0</v>
          </cell>
        </row>
        <row r="193">
          <cell r="I193">
            <v>0</v>
          </cell>
        </row>
        <row r="194">
          <cell r="D194">
            <v>4005</v>
          </cell>
          <cell r="E194" t="str">
            <v>Oasis Academy Don Valley</v>
          </cell>
          <cell r="G194">
            <v>418.25</v>
          </cell>
          <cell r="H194">
            <v>4.7493403693931402E-2</v>
          </cell>
          <cell r="I194">
            <v>0</v>
          </cell>
          <cell r="J194">
            <v>0</v>
          </cell>
          <cell r="K194">
            <v>5.2380952380952403E-2</v>
          </cell>
          <cell r="M194">
            <v>0</v>
          </cell>
          <cell r="N194">
            <v>0</v>
          </cell>
        </row>
        <row r="195">
          <cell r="D195">
            <v>4005</v>
          </cell>
          <cell r="E195" t="str">
            <v>Oasis Academy Don Valley</v>
          </cell>
          <cell r="G195">
            <v>579.5</v>
          </cell>
          <cell r="H195">
            <v>4.0650406504064998E-2</v>
          </cell>
          <cell r="I195">
            <v>0</v>
          </cell>
          <cell r="J195">
            <v>0</v>
          </cell>
          <cell r="K195">
            <v>5.9304703476482597E-2</v>
          </cell>
          <cell r="M195">
            <v>0</v>
          </cell>
          <cell r="N195">
            <v>0</v>
          </cell>
        </row>
        <row r="196">
          <cell r="G196">
            <v>997.75</v>
          </cell>
          <cell r="H196">
            <v>6.1252428899487753E-2</v>
          </cell>
          <cell r="I196">
            <v>0</v>
          </cell>
          <cell r="J196">
            <v>0</v>
          </cell>
          <cell r="K196">
            <v>5.5842827928717503E-2</v>
          </cell>
          <cell r="M196">
            <v>0</v>
          </cell>
          <cell r="N196">
            <v>0</v>
          </cell>
        </row>
        <row r="198">
          <cell r="H198" t="str">
            <v>Primary</v>
          </cell>
          <cell r="K198">
            <v>925</v>
          </cell>
          <cell r="M198">
            <v>472.03152471402251</v>
          </cell>
          <cell r="N198">
            <v>436629.16036047082</v>
          </cell>
        </row>
        <row r="199">
          <cell r="H199" t="str">
            <v>Secondary</v>
          </cell>
          <cell r="K199">
            <v>1330</v>
          </cell>
          <cell r="M199">
            <v>103.3388082478707</v>
          </cell>
          <cell r="N199">
            <v>137440.61496966804</v>
          </cell>
        </row>
        <row r="200">
          <cell r="M200">
            <v>575.37033296189315</v>
          </cell>
          <cell r="N200">
            <v>574069.77533013886</v>
          </cell>
        </row>
        <row r="201">
          <cell r="N20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D1" t="str">
            <v>Indicative School Budget Shares - 2022-23</v>
          </cell>
          <cell r="Z1">
            <v>44979.808093055559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</row>
        <row r="3">
          <cell r="G3" t="str">
            <v>PUPIL LED FUNDING</v>
          </cell>
          <cell r="N3" t="str">
            <v>Primary</v>
          </cell>
        </row>
        <row r="4">
          <cell r="H4" t="str">
            <v>Deprivation</v>
          </cell>
          <cell r="N4">
            <v>121300</v>
          </cell>
        </row>
        <row r="5">
          <cell r="D5" t="str">
            <v>DfE</v>
          </cell>
          <cell r="E5" t="str">
            <v>School</v>
          </cell>
          <cell r="F5" t="str">
            <v xml:space="preserve">Pupil No. </v>
          </cell>
          <cell r="G5" t="str">
            <v>Basic per pupil funding</v>
          </cell>
          <cell r="H5" t="str">
            <v xml:space="preserve">FSM </v>
          </cell>
          <cell r="I5" t="str">
            <v>FSM-Ever6</v>
          </cell>
          <cell r="J5" t="str">
            <v>IDACI</v>
          </cell>
          <cell r="K5" t="str">
            <v>Low Prior Attainment</v>
          </cell>
          <cell r="L5" t="str">
            <v>EAL</v>
          </cell>
          <cell r="M5" t="str">
            <v>Total Pupil Led Funding</v>
          </cell>
          <cell r="N5" t="str">
            <v>Lump Sum</v>
          </cell>
          <cell r="O5" t="str">
            <v>Mobility</v>
          </cell>
          <cell r="P5" t="str">
            <v>Minimum Funding Level Value</v>
          </cell>
          <cell r="Q5" t="str">
            <v>Minimum Funding Level</v>
          </cell>
          <cell r="R5" t="str">
            <v>Gains Cap Value</v>
          </cell>
          <cell r="S5" t="str">
            <v>Gains Cap</v>
          </cell>
          <cell r="T5" t="str">
            <v>MFG Value</v>
          </cell>
          <cell r="U5" t="str">
            <v>MFG</v>
          </cell>
          <cell r="V5" t="str">
            <v>PFI</v>
          </cell>
          <cell r="W5" t="str">
            <v>Split Sites</v>
          </cell>
          <cell r="X5" t="str">
            <v>*** NEW ***    Sparsity</v>
          </cell>
          <cell r="Y5" t="str">
            <v>Rates (Incl. 21-22 Adj)</v>
          </cell>
          <cell r="Z5" t="str">
            <v>TOTAL Budget Share</v>
          </cell>
        </row>
        <row r="6">
          <cell r="F6" t="str">
            <v>FTE</v>
          </cell>
          <cell r="G6" t="str">
            <v>£</v>
          </cell>
          <cell r="H6" t="str">
            <v>£</v>
          </cell>
          <cell r="J6" t="str">
            <v>£</v>
          </cell>
          <cell r="K6" t="str">
            <v>£</v>
          </cell>
          <cell r="L6" t="str">
            <v>£</v>
          </cell>
          <cell r="M6" t="str">
            <v>£</v>
          </cell>
          <cell r="N6" t="str">
            <v>£</v>
          </cell>
          <cell r="O6" t="str">
            <v>£</v>
          </cell>
          <cell r="Q6" t="str">
            <v>£</v>
          </cell>
          <cell r="S6" t="str">
            <v>£</v>
          </cell>
          <cell r="U6" t="str">
            <v>£</v>
          </cell>
          <cell r="V6" t="str">
            <v>£</v>
          </cell>
          <cell r="W6" t="str">
            <v>£</v>
          </cell>
          <cell r="X6" t="str">
            <v>£</v>
          </cell>
          <cell r="Y6" t="str">
            <v>£</v>
          </cell>
          <cell r="Z6" t="str">
            <v>£</v>
          </cell>
        </row>
        <row r="7"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</row>
        <row r="9">
          <cell r="A9">
            <v>3732001</v>
          </cell>
          <cell r="B9">
            <v>0</v>
          </cell>
          <cell r="C9">
            <v>0</v>
          </cell>
          <cell r="D9">
            <v>2001</v>
          </cell>
          <cell r="E9" t="str">
            <v>Abbey Lane Primary School</v>
          </cell>
          <cell r="F9">
            <v>557</v>
          </cell>
          <cell r="G9">
            <v>1900967.7986633005</v>
          </cell>
          <cell r="H9">
            <v>29085.28674265404</v>
          </cell>
          <cell r="I9">
            <v>39557.068704199359</v>
          </cell>
          <cell r="J9">
            <v>42044.295237858569</v>
          </cell>
          <cell r="K9">
            <v>126726.84563758389</v>
          </cell>
          <cell r="L9">
            <v>7613.8306451612989</v>
          </cell>
          <cell r="M9">
            <v>2145995.1256307573</v>
          </cell>
          <cell r="N9">
            <v>121300</v>
          </cell>
          <cell r="O9">
            <v>0</v>
          </cell>
          <cell r="P9">
            <v>108309.87436924261</v>
          </cell>
          <cell r="Q9">
            <v>108309.87436924261</v>
          </cell>
          <cell r="R9">
            <v>0</v>
          </cell>
          <cell r="S9">
            <v>0</v>
          </cell>
          <cell r="T9">
            <v>3673.3863481222888</v>
          </cell>
          <cell r="U9">
            <v>3673.3863481222888</v>
          </cell>
          <cell r="V9">
            <v>0</v>
          </cell>
          <cell r="W9">
            <v>0</v>
          </cell>
          <cell r="X9">
            <v>0</v>
          </cell>
          <cell r="Y9">
            <v>40716</v>
          </cell>
          <cell r="Z9">
            <v>2419994.3863481223</v>
          </cell>
          <cell r="AA9">
            <v>0</v>
          </cell>
          <cell r="AC9">
            <v>16</v>
          </cell>
          <cell r="AD9">
            <v>2188062</v>
          </cell>
          <cell r="AE9">
            <v>231932.38634812227</v>
          </cell>
          <cell r="AF9">
            <v>-29</v>
          </cell>
          <cell r="AG9">
            <v>2490196</v>
          </cell>
          <cell r="AH9">
            <v>-70201.613651877735</v>
          </cell>
          <cell r="AI9">
            <v>-2.8191200070949329E-2</v>
          </cell>
          <cell r="AK9">
            <v>4249.4812286689421</v>
          </cell>
          <cell r="AL9">
            <v>4344.693691827868</v>
          </cell>
        </row>
        <row r="10">
          <cell r="A10">
            <v>3732046</v>
          </cell>
          <cell r="B10" t="str">
            <v>Recoupment Academy</v>
          </cell>
          <cell r="C10">
            <v>0</v>
          </cell>
          <cell r="D10">
            <v>2046</v>
          </cell>
          <cell r="E10" t="str">
            <v>Abbeyfield Primary Academy</v>
          </cell>
          <cell r="F10">
            <v>354</v>
          </cell>
          <cell r="G10">
            <v>1208155.4770678787</v>
          </cell>
          <cell r="H10">
            <v>62533.366496706316</v>
          </cell>
          <cell r="I10">
            <v>85309.822868092626</v>
          </cell>
          <cell r="J10">
            <v>96803.341099452475</v>
          </cell>
          <cell r="K10">
            <v>134821.55555555553</v>
          </cell>
          <cell r="L10">
            <v>65003.25</v>
          </cell>
          <cell r="M10">
            <v>1652626.8130876857</v>
          </cell>
          <cell r="N10">
            <v>121300</v>
          </cell>
          <cell r="O10">
            <v>25677.999999999938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6707</v>
          </cell>
          <cell r="Z10">
            <v>1806311.8130876857</v>
          </cell>
          <cell r="AA10">
            <v>0</v>
          </cell>
          <cell r="AC10">
            <v>72</v>
          </cell>
          <cell r="AD10">
            <v>1951965.71702089</v>
          </cell>
          <cell r="AE10">
            <v>-145653.90393320424</v>
          </cell>
          <cell r="AF10">
            <v>-17</v>
          </cell>
          <cell r="AG10">
            <v>1815554.2671445617</v>
          </cell>
          <cell r="AH10">
            <v>-9242.4540568760131</v>
          </cell>
          <cell r="AI10">
            <v>-5.0907065815290727E-3</v>
          </cell>
          <cell r="AK10">
            <v>4893.6772699314333</v>
          </cell>
          <cell r="AL10">
            <v>5102.5757431855527</v>
          </cell>
        </row>
        <row r="11">
          <cell r="A11">
            <v>3732048</v>
          </cell>
          <cell r="B11" t="str">
            <v>Recoupment Academy</v>
          </cell>
          <cell r="C11">
            <v>0</v>
          </cell>
          <cell r="D11">
            <v>2048</v>
          </cell>
          <cell r="E11" t="str">
            <v>Acres Hill Community Primary School</v>
          </cell>
          <cell r="F11">
            <v>194</v>
          </cell>
          <cell r="G11">
            <v>662096.50438183174</v>
          </cell>
          <cell r="H11">
            <v>33811.645838335404</v>
          </cell>
          <cell r="I11">
            <v>48135.710109929387</v>
          </cell>
          <cell r="J11">
            <v>56101.324927758164</v>
          </cell>
          <cell r="K11">
            <v>95133.207547169819</v>
          </cell>
          <cell r="L11">
            <v>30744.268292682948</v>
          </cell>
          <cell r="M11">
            <v>926022.66109770746</v>
          </cell>
          <cell r="N11">
            <v>121300</v>
          </cell>
          <cell r="O11">
            <v>7733.0000000000637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4966</v>
          </cell>
          <cell r="Z11">
            <v>1060021.6610977075</v>
          </cell>
          <cell r="AA11">
            <v>0</v>
          </cell>
          <cell r="AC11">
            <v>68</v>
          </cell>
          <cell r="AD11">
            <v>1267691.5863236601</v>
          </cell>
          <cell r="AE11">
            <v>-207669.92522595264</v>
          </cell>
          <cell r="AF11">
            <v>-8</v>
          </cell>
          <cell r="AG11">
            <v>1062089.9946401054</v>
          </cell>
          <cell r="AH11">
            <v>-2068.3335423979443</v>
          </cell>
          <cell r="AI11">
            <v>-1.9474183476314638E-3</v>
          </cell>
          <cell r="AK11">
            <v>5257.8712605945811</v>
          </cell>
          <cell r="AL11">
            <v>5464.029180916018</v>
          </cell>
        </row>
        <row r="12">
          <cell r="A12">
            <v>3732342</v>
          </cell>
          <cell r="B12">
            <v>0</v>
          </cell>
          <cell r="C12">
            <v>0</v>
          </cell>
          <cell r="D12">
            <v>2342</v>
          </cell>
          <cell r="E12" t="str">
            <v>Angram Bank Primary School</v>
          </cell>
          <cell r="F12">
            <v>195</v>
          </cell>
          <cell r="G12">
            <v>665509.37296111963</v>
          </cell>
          <cell r="H12">
            <v>30539.551079786837</v>
          </cell>
          <cell r="I12">
            <v>40986.842271821057</v>
          </cell>
          <cell r="J12">
            <v>42363.222739582161</v>
          </cell>
          <cell r="K12">
            <v>56499.999999999993</v>
          </cell>
          <cell r="L12">
            <v>1991.1144578313244</v>
          </cell>
          <cell r="M12">
            <v>837890.10351014114</v>
          </cell>
          <cell r="N12">
            <v>121300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23204</v>
          </cell>
          <cell r="Z12">
            <v>982394.10351014114</v>
          </cell>
          <cell r="AA12">
            <v>0</v>
          </cell>
          <cell r="AC12">
            <v>20</v>
          </cell>
          <cell r="AD12">
            <v>957300.63528040901</v>
          </cell>
          <cell r="AE12">
            <v>25093.468229732127</v>
          </cell>
          <cell r="AF12">
            <v>-3</v>
          </cell>
          <cell r="AG12">
            <v>964301.19558271859</v>
          </cell>
          <cell r="AH12">
            <v>18092.907927422551</v>
          </cell>
          <cell r="AI12">
            <v>1.8762714399093085E-2</v>
          </cell>
          <cell r="AK12">
            <v>4870.2080584985788</v>
          </cell>
          <cell r="AL12">
            <v>5037.9184795391857</v>
          </cell>
        </row>
        <row r="13">
          <cell r="A13">
            <v>3732343</v>
          </cell>
          <cell r="B13">
            <v>0</v>
          </cell>
          <cell r="C13">
            <v>0</v>
          </cell>
          <cell r="D13">
            <v>2343</v>
          </cell>
          <cell r="E13" t="str">
            <v>Anns Grove Primary School</v>
          </cell>
          <cell r="F13">
            <v>324</v>
          </cell>
          <cell r="G13">
            <v>1105769.4196892448</v>
          </cell>
          <cell r="H13">
            <v>45809.326619680251</v>
          </cell>
          <cell r="I13">
            <v>62433.445786146025</v>
          </cell>
          <cell r="J13">
            <v>87289.231013284356</v>
          </cell>
          <cell r="K13">
            <v>89367.874015748035</v>
          </cell>
          <cell r="L13">
            <v>34802.281368821357</v>
          </cell>
          <cell r="M13">
            <v>1425471.5784929248</v>
          </cell>
          <cell r="N13">
            <v>121300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41499</v>
          </cell>
          <cell r="Z13">
            <v>1588270.5784929248</v>
          </cell>
          <cell r="AA13">
            <v>0</v>
          </cell>
          <cell r="AC13">
            <v>-23</v>
          </cell>
          <cell r="AD13">
            <v>1350827.54271974</v>
          </cell>
          <cell r="AE13">
            <v>237443.03577318485</v>
          </cell>
          <cell r="AF13">
            <v>24</v>
          </cell>
          <cell r="AG13">
            <v>1455577.4588321333</v>
          </cell>
          <cell r="AH13">
            <v>132693.11966079148</v>
          </cell>
          <cell r="AI13">
            <v>9.1161840172529429E-2</v>
          </cell>
          <cell r="AK13">
            <v>4851.9248627737779</v>
          </cell>
          <cell r="AL13">
            <v>4902.0696867065581</v>
          </cell>
        </row>
        <row r="14">
          <cell r="A14">
            <v>3733429</v>
          </cell>
          <cell r="B14">
            <v>0</v>
          </cell>
          <cell r="C14">
            <v>0</v>
          </cell>
          <cell r="D14">
            <v>3429</v>
          </cell>
          <cell r="E14" t="str">
            <v>Arbourthorne Community Primary School</v>
          </cell>
          <cell r="F14">
            <v>403</v>
          </cell>
          <cell r="G14">
            <v>1375386.0374529804</v>
          </cell>
          <cell r="H14">
            <v>89437.256733661445</v>
          </cell>
          <cell r="I14">
            <v>122483.9356262559</v>
          </cell>
          <cell r="J14">
            <v>155152.555910055</v>
          </cell>
          <cell r="K14">
            <v>234954.84057971014</v>
          </cell>
          <cell r="L14">
            <v>23099.492753623224</v>
          </cell>
          <cell r="M14">
            <v>2000514.1190562863</v>
          </cell>
          <cell r="N14">
            <v>121300</v>
          </cell>
          <cell r="O14">
            <v>2608.4999999999882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53766</v>
          </cell>
          <cell r="Z14">
            <v>2178188.6190562863</v>
          </cell>
          <cell r="AA14">
            <v>0</v>
          </cell>
          <cell r="AC14">
            <v>2</v>
          </cell>
          <cell r="AD14">
            <v>1995169.02746297</v>
          </cell>
          <cell r="AE14">
            <v>183019.59159331629</v>
          </cell>
          <cell r="AF14">
            <v>5</v>
          </cell>
          <cell r="AG14">
            <v>2081128.6616331199</v>
          </cell>
          <cell r="AH14">
            <v>97059.957423166372</v>
          </cell>
          <cell r="AI14">
            <v>4.6638134014742129E-2</v>
          </cell>
          <cell r="AK14">
            <v>5228.9664865153763</v>
          </cell>
          <cell r="AL14">
            <v>5404.9345386012064</v>
          </cell>
        </row>
        <row r="15">
          <cell r="A15">
            <v>3732340</v>
          </cell>
          <cell r="B15">
            <v>0</v>
          </cell>
          <cell r="C15">
            <v>0</v>
          </cell>
          <cell r="D15">
            <v>2340</v>
          </cell>
          <cell r="E15" t="str">
            <v>Athelstan Primary School</v>
          </cell>
          <cell r="F15">
            <v>615</v>
          </cell>
          <cell r="G15">
            <v>2098914.1762619927</v>
          </cell>
          <cell r="H15">
            <v>70531.820350936294</v>
          </cell>
          <cell r="I15">
            <v>96748.011409065963</v>
          </cell>
          <cell r="J15">
            <v>117250.35540342539</v>
          </cell>
          <cell r="K15">
            <v>206012.84584980237</v>
          </cell>
          <cell r="L15">
            <v>31048.146387832705</v>
          </cell>
          <cell r="M15">
            <v>2620505.3556630551</v>
          </cell>
          <cell r="N15">
            <v>121300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33408</v>
          </cell>
          <cell r="Z15">
            <v>2775213.3556630551</v>
          </cell>
          <cell r="AA15">
            <v>0</v>
          </cell>
          <cell r="AC15">
            <v>-12</v>
          </cell>
          <cell r="AD15">
            <v>2443477.3664902798</v>
          </cell>
          <cell r="AE15">
            <v>331735.9891727753</v>
          </cell>
          <cell r="AF15">
            <v>6</v>
          </cell>
          <cell r="AG15">
            <v>2689219.1731845913</v>
          </cell>
          <cell r="AH15">
            <v>85994.182478463743</v>
          </cell>
          <cell r="AI15">
            <v>3.1977379655756678E-2</v>
          </cell>
          <cell r="AK15">
            <v>4415.7950298597561</v>
          </cell>
          <cell r="AL15">
            <v>4512.542041728545</v>
          </cell>
        </row>
        <row r="16">
          <cell r="A16">
            <v>3732281</v>
          </cell>
          <cell r="B16">
            <v>0</v>
          </cell>
          <cell r="C16">
            <v>0</v>
          </cell>
          <cell r="D16">
            <v>2281</v>
          </cell>
          <cell r="E16" t="str">
            <v>Ballifield Primary School</v>
          </cell>
          <cell r="F16">
            <v>415</v>
          </cell>
          <cell r="G16">
            <v>1416340.460404434</v>
          </cell>
          <cell r="H16">
            <v>22177.531141273779</v>
          </cell>
          <cell r="I16">
            <v>32408.200866091069</v>
          </cell>
          <cell r="J16">
            <v>33509.921650658725</v>
          </cell>
          <cell r="K16">
            <v>147534.83146067415</v>
          </cell>
          <cell r="L16">
            <v>3962.9577464788667</v>
          </cell>
          <cell r="M16">
            <v>1655933.9032696106</v>
          </cell>
          <cell r="N16">
            <v>121300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19707.833960660708</v>
          </cell>
          <cell r="U16">
            <v>19707.833960660708</v>
          </cell>
          <cell r="V16">
            <v>0</v>
          </cell>
          <cell r="W16">
            <v>0</v>
          </cell>
          <cell r="X16">
            <v>0</v>
          </cell>
          <cell r="Y16">
            <v>28449</v>
          </cell>
          <cell r="Z16">
            <v>1825390.7372302713</v>
          </cell>
          <cell r="AA16">
            <v>0</v>
          </cell>
          <cell r="AC16">
            <v>4</v>
          </cell>
          <cell r="AD16">
            <v>1615447.5981087501</v>
          </cell>
          <cell r="AE16">
            <v>209943.13912152126</v>
          </cell>
          <cell r="AF16">
            <v>-3</v>
          </cell>
          <cell r="AG16">
            <v>1803865.5784602074</v>
          </cell>
          <cell r="AH16">
            <v>21525.158770063892</v>
          </cell>
          <cell r="AI16">
            <v>1.193279534079137E-2</v>
          </cell>
          <cell r="AK16">
            <v>4315.4678910531275</v>
          </cell>
          <cell r="AL16">
            <v>4398.5318969404125</v>
          </cell>
        </row>
        <row r="17">
          <cell r="A17">
            <v>3732322</v>
          </cell>
          <cell r="B17">
            <v>0</v>
          </cell>
          <cell r="C17">
            <v>0</v>
          </cell>
          <cell r="D17">
            <v>2322</v>
          </cell>
          <cell r="E17" t="str">
            <v>Bankwood Community Primary School</v>
          </cell>
          <cell r="F17">
            <v>363</v>
          </cell>
          <cell r="G17">
            <v>1238871.2942814687</v>
          </cell>
          <cell r="H17">
            <v>95254.314082192228</v>
          </cell>
          <cell r="I17">
            <v>126773.25632912086</v>
          </cell>
          <cell r="J17">
            <v>164000.35346003965</v>
          </cell>
          <cell r="K17">
            <v>160074.14634146341</v>
          </cell>
          <cell r="L17">
            <v>39953.571428571471</v>
          </cell>
          <cell r="M17">
            <v>1824926.9359228562</v>
          </cell>
          <cell r="N17">
            <v>121300</v>
          </cell>
          <cell r="O17">
            <v>7603.5000000000155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24326</v>
          </cell>
          <cell r="Z17">
            <v>1978156.4359228562</v>
          </cell>
          <cell r="AA17">
            <v>0</v>
          </cell>
          <cell r="AC17">
            <v>-30</v>
          </cell>
          <cell r="AD17">
            <v>1723183.3526108901</v>
          </cell>
          <cell r="AE17">
            <v>254973.08331196615</v>
          </cell>
          <cell r="AF17">
            <v>18</v>
          </cell>
          <cell r="AG17">
            <v>1827461.6117924391</v>
          </cell>
          <cell r="AH17">
            <v>150694.82413041708</v>
          </cell>
          <cell r="AI17">
            <v>8.2461280257816336E-2</v>
          </cell>
          <cell r="AK17">
            <v>5296.9901791085194</v>
          </cell>
          <cell r="AL17">
            <v>5449.4667656277034</v>
          </cell>
        </row>
        <row r="18">
          <cell r="A18">
            <v>3732274</v>
          </cell>
          <cell r="B18" t="str">
            <v>Recoupment Academy</v>
          </cell>
          <cell r="C18">
            <v>0</v>
          </cell>
          <cell r="D18">
            <v>2274</v>
          </cell>
          <cell r="E18" t="str">
            <v>Beck Primary School</v>
          </cell>
          <cell r="F18">
            <v>610</v>
          </cell>
          <cell r="G18">
            <v>2081849.8333655535</v>
          </cell>
          <cell r="H18">
            <v>115250.44871776694</v>
          </cell>
          <cell r="I18">
            <v>162041.00433045538</v>
          </cell>
          <cell r="J18">
            <v>237820.15756406839</v>
          </cell>
          <cell r="K18">
            <v>252344.89402697497</v>
          </cell>
          <cell r="L18">
            <v>30448.402255639088</v>
          </cell>
          <cell r="M18">
            <v>2879754.7402604581</v>
          </cell>
          <cell r="N18">
            <v>121300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9267</v>
          </cell>
          <cell r="Z18">
            <v>3010321.7402604581</v>
          </cell>
          <cell r="AA18">
            <v>0</v>
          </cell>
          <cell r="AC18">
            <v>17</v>
          </cell>
          <cell r="AD18">
            <v>2796750.7338981899</v>
          </cell>
          <cell r="AE18">
            <v>213571.00636226824</v>
          </cell>
          <cell r="AF18">
            <v>-19</v>
          </cell>
          <cell r="AG18">
            <v>3010724.0937737725</v>
          </cell>
          <cell r="AH18">
            <v>-402.35351331438869</v>
          </cell>
          <cell r="AI18">
            <v>-1.3364011473069302E-4</v>
          </cell>
          <cell r="AK18">
            <v>4786.5247913732474</v>
          </cell>
          <cell r="AL18">
            <v>4934.9536725581283</v>
          </cell>
        </row>
        <row r="19">
          <cell r="A19">
            <v>3732241</v>
          </cell>
          <cell r="B19">
            <v>0</v>
          </cell>
          <cell r="C19">
            <v>0</v>
          </cell>
          <cell r="D19">
            <v>2241</v>
          </cell>
          <cell r="E19" t="str">
            <v>Beighton Nursery Infant School</v>
          </cell>
          <cell r="F19">
            <v>249</v>
          </cell>
          <cell r="G19">
            <v>849804.27624266036</v>
          </cell>
          <cell r="H19">
            <v>13451.945118477515</v>
          </cell>
          <cell r="I19">
            <v>17633.874000667183</v>
          </cell>
          <cell r="J19">
            <v>18169.242115821758</v>
          </cell>
          <cell r="K19">
            <v>81873.862290644553</v>
          </cell>
          <cell r="L19">
            <v>4823.4857142857163</v>
          </cell>
          <cell r="M19">
            <v>985756.68548255716</v>
          </cell>
          <cell r="N19">
            <v>121300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19835</v>
          </cell>
          <cell r="Z19">
            <v>1126891.6854825572</v>
          </cell>
          <cell r="AA19">
            <v>0</v>
          </cell>
          <cell r="AC19">
            <v>16</v>
          </cell>
          <cell r="AD19">
            <v>1013784</v>
          </cell>
          <cell r="AE19">
            <v>113107.68548255716</v>
          </cell>
          <cell r="AF19">
            <v>-6</v>
          </cell>
          <cell r="AG19">
            <v>1130388.7350976588</v>
          </cell>
          <cell r="AH19">
            <v>-3497.0496151016559</v>
          </cell>
          <cell r="AI19">
            <v>-3.0936699088738987E-3</v>
          </cell>
          <cell r="AK19">
            <v>4432.8970003829754</v>
          </cell>
          <cell r="AL19">
            <v>4525.6694196086637</v>
          </cell>
        </row>
        <row r="20">
          <cell r="A20">
            <v>3732353</v>
          </cell>
          <cell r="B20" t="str">
            <v>Recoupment Academy</v>
          </cell>
          <cell r="C20">
            <v>0</v>
          </cell>
          <cell r="D20">
            <v>2353</v>
          </cell>
          <cell r="E20" t="str">
            <v>Birley Primary Academy</v>
          </cell>
          <cell r="F20">
            <v>533</v>
          </cell>
          <cell r="G20">
            <v>1819058.9527603935</v>
          </cell>
          <cell r="H20">
            <v>49808.553546795229</v>
          </cell>
          <cell r="I20">
            <v>70058.904813461573</v>
          </cell>
          <cell r="J20">
            <v>53395.645561797777</v>
          </cell>
          <cell r="K20">
            <v>153889.07488986783</v>
          </cell>
          <cell r="L20">
            <v>0</v>
          </cell>
          <cell r="M20">
            <v>2146211.1315723159</v>
          </cell>
          <cell r="N20">
            <v>121300</v>
          </cell>
          <cell r="O20">
            <v>0</v>
          </cell>
          <cell r="P20">
            <v>5733.8684276845233</v>
          </cell>
          <cell r="Q20">
            <v>5733.8684276845233</v>
          </cell>
          <cell r="R20">
            <v>0</v>
          </cell>
          <cell r="S20">
            <v>0</v>
          </cell>
          <cell r="T20">
            <v>4406.9228030879794</v>
          </cell>
          <cell r="U20">
            <v>4406.9228030879794</v>
          </cell>
          <cell r="V20">
            <v>0</v>
          </cell>
          <cell r="W20">
            <v>0</v>
          </cell>
          <cell r="X20">
            <v>0</v>
          </cell>
          <cell r="Y20">
            <v>6882</v>
          </cell>
          <cell r="Z20">
            <v>2284533.9228030886</v>
          </cell>
          <cell r="AA20">
            <v>0</v>
          </cell>
          <cell r="AC20">
            <v>33</v>
          </cell>
          <cell r="AD20">
            <v>2122500</v>
          </cell>
          <cell r="AE20">
            <v>162033.92280308856</v>
          </cell>
          <cell r="AF20">
            <v>-5</v>
          </cell>
          <cell r="AG20">
            <v>2262084.2595149772</v>
          </cell>
          <cell r="AH20">
            <v>22449.663288111333</v>
          </cell>
          <cell r="AI20">
            <v>9.9243267326058222E-3</v>
          </cell>
          <cell r="AK20">
            <v>4204.6175827415937</v>
          </cell>
          <cell r="AL20">
            <v>4286.1799677356257</v>
          </cell>
        </row>
        <row r="21">
          <cell r="A21">
            <v>3732323</v>
          </cell>
          <cell r="B21" t="str">
            <v>Recoupment Academy</v>
          </cell>
          <cell r="C21">
            <v>0</v>
          </cell>
          <cell r="D21">
            <v>2323</v>
          </cell>
          <cell r="E21" t="str">
            <v>Birley Spa Primary Academy</v>
          </cell>
          <cell r="F21">
            <v>355</v>
          </cell>
          <cell r="G21">
            <v>1211568.3456471665</v>
          </cell>
          <cell r="H21">
            <v>45809.326619680265</v>
          </cell>
          <cell r="I21">
            <v>64816.401732182174</v>
          </cell>
          <cell r="J21">
            <v>83054.11059976714</v>
          </cell>
          <cell r="K21">
            <v>122444.04069767441</v>
          </cell>
          <cell r="L21">
            <v>3820.4761904761808</v>
          </cell>
          <cell r="M21">
            <v>1531512.7014869468</v>
          </cell>
          <cell r="N21">
            <v>121300</v>
          </cell>
          <cell r="O21">
            <v>5272.4999999999945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9165</v>
          </cell>
          <cell r="Z21">
            <v>1667250.2014869468</v>
          </cell>
          <cell r="AA21">
            <v>0</v>
          </cell>
          <cell r="AC21">
            <v>46</v>
          </cell>
          <cell r="AD21">
            <v>1633636.59503302</v>
          </cell>
          <cell r="AE21">
            <v>33613.606453926768</v>
          </cell>
          <cell r="AF21">
            <v>-4</v>
          </cell>
          <cell r="AG21">
            <v>1630151.7704496388</v>
          </cell>
          <cell r="AH21">
            <v>37098.43103730795</v>
          </cell>
          <cell r="AI21">
            <v>2.2757654661243736E-2</v>
          </cell>
          <cell r="AK21">
            <v>4540.8127310574901</v>
          </cell>
          <cell r="AL21">
            <v>4696.4794408083008</v>
          </cell>
        </row>
        <row r="22">
          <cell r="A22">
            <v>3732328</v>
          </cell>
          <cell r="B22" t="str">
            <v>Recoupment Academy</v>
          </cell>
          <cell r="C22">
            <v>0</v>
          </cell>
          <cell r="D22">
            <v>2328</v>
          </cell>
          <cell r="E22" t="str">
            <v>Bradfield Dungworth Primary School</v>
          </cell>
          <cell r="F22">
            <v>126</v>
          </cell>
          <cell r="G22">
            <v>430021.44099026191</v>
          </cell>
          <cell r="H22">
            <v>3635.6608428317663</v>
          </cell>
          <cell r="I22">
            <v>4765.9118920722185</v>
          </cell>
          <cell r="J22">
            <v>2121.6031288812492</v>
          </cell>
          <cell r="K22">
            <v>22411.666666666668</v>
          </cell>
          <cell r="L22">
            <v>0</v>
          </cell>
          <cell r="M22">
            <v>462956.28352071386</v>
          </cell>
          <cell r="N22">
            <v>121300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17476.635514018686</v>
          </cell>
          <cell r="Y22">
            <v>2816</v>
          </cell>
          <cell r="Z22">
            <v>604548.91903473251</v>
          </cell>
          <cell r="AA22">
            <v>0</v>
          </cell>
          <cell r="AC22">
            <v>-19</v>
          </cell>
          <cell r="AD22">
            <v>506328.31713190401</v>
          </cell>
          <cell r="AE22">
            <v>98220.601902828494</v>
          </cell>
          <cell r="AF22">
            <v>3</v>
          </cell>
          <cell r="AG22">
            <v>582586.4029007986</v>
          </cell>
          <cell r="AH22">
            <v>21962.51613393391</v>
          </cell>
          <cell r="AI22">
            <v>3.7698298526328007E-2</v>
          </cell>
          <cell r="AK22">
            <v>4736.4748203316958</v>
          </cell>
          <cell r="AL22">
            <v>4798.0072939264483</v>
          </cell>
        </row>
        <row r="23">
          <cell r="A23">
            <v>3732233</v>
          </cell>
          <cell r="B23">
            <v>0</v>
          </cell>
          <cell r="C23">
            <v>0</v>
          </cell>
          <cell r="D23">
            <v>2233</v>
          </cell>
          <cell r="E23" t="str">
            <v>Bradway Primary School</v>
          </cell>
          <cell r="F23">
            <v>413</v>
          </cell>
          <cell r="G23">
            <v>1409514.7232458584</v>
          </cell>
          <cell r="H23">
            <v>21086.832888424295</v>
          </cell>
          <cell r="I23">
            <v>29548.653730847807</v>
          </cell>
          <cell r="J23">
            <v>35788.297377748517</v>
          </cell>
          <cell r="K23">
            <v>91370.030120481926</v>
          </cell>
          <cell r="L23">
            <v>8593.4419263456093</v>
          </cell>
          <cell r="M23">
            <v>1595901.9792897068</v>
          </cell>
          <cell r="N23">
            <v>121300</v>
          </cell>
          <cell r="O23">
            <v>0</v>
          </cell>
          <cell r="P23">
            <v>44243.020710293087</v>
          </cell>
          <cell r="Q23">
            <v>44243.020710293087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24950</v>
          </cell>
          <cell r="Z23">
            <v>1786395</v>
          </cell>
          <cell r="AA23">
            <v>0</v>
          </cell>
          <cell r="AC23">
            <v>-11</v>
          </cell>
          <cell r="AD23">
            <v>1532897.86</v>
          </cell>
          <cell r="AE23">
            <v>253497.1399999999</v>
          </cell>
          <cell r="AF23">
            <v>-4</v>
          </cell>
          <cell r="AG23">
            <v>1768010</v>
          </cell>
          <cell r="AH23">
            <v>18385</v>
          </cell>
          <cell r="AI23">
            <v>1.0398696839950001E-2</v>
          </cell>
          <cell r="AK23">
            <v>4239.8321342925656</v>
          </cell>
          <cell r="AL23">
            <v>4325.4116222760294</v>
          </cell>
        </row>
        <row r="24">
          <cell r="A24">
            <v>3732014</v>
          </cell>
          <cell r="B24">
            <v>0</v>
          </cell>
          <cell r="C24">
            <v>0</v>
          </cell>
          <cell r="D24">
            <v>2014</v>
          </cell>
          <cell r="E24" t="str">
            <v>Brightside Nursery and Infant School</v>
          </cell>
          <cell r="F24">
            <v>171</v>
          </cell>
          <cell r="G24">
            <v>583600.52705821255</v>
          </cell>
          <cell r="H24">
            <v>21450.398972707422</v>
          </cell>
          <cell r="I24">
            <v>28118.880163226087</v>
          </cell>
          <cell r="J24">
            <v>40654.151561080849</v>
          </cell>
          <cell r="K24">
            <v>56226.628320081196</v>
          </cell>
          <cell r="L24">
            <v>40909.05405405401</v>
          </cell>
          <cell r="M24">
            <v>770959.640129362</v>
          </cell>
          <cell r="N24">
            <v>121300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3522.125751860583</v>
          </cell>
          <cell r="U24">
            <v>3522.125751860583</v>
          </cell>
          <cell r="V24">
            <v>0</v>
          </cell>
          <cell r="W24">
            <v>0</v>
          </cell>
          <cell r="X24">
            <v>0</v>
          </cell>
          <cell r="Y24">
            <v>16841</v>
          </cell>
          <cell r="Z24">
            <v>912622.76588122279</v>
          </cell>
          <cell r="AA24">
            <v>0</v>
          </cell>
          <cell r="AC24">
            <v>9</v>
          </cell>
          <cell r="AD24">
            <v>846196.88955801097</v>
          </cell>
          <cell r="AE24">
            <v>66425.876323211822</v>
          </cell>
          <cell r="AF24">
            <v>4</v>
          </cell>
          <cell r="AG24">
            <v>879675.79249597108</v>
          </cell>
          <cell r="AH24">
            <v>32946.973385251709</v>
          </cell>
          <cell r="AI24">
            <v>3.7453541027619677E-2</v>
          </cell>
          <cell r="AK24">
            <v>5267.5197155447368</v>
          </cell>
          <cell r="AL24">
            <v>5336.9752390714784</v>
          </cell>
        </row>
        <row r="25">
          <cell r="A25">
            <v>3732246</v>
          </cell>
          <cell r="B25" t="str">
            <v>Recoupment Academy</v>
          </cell>
          <cell r="C25">
            <v>0</v>
          </cell>
          <cell r="D25">
            <v>2246</v>
          </cell>
          <cell r="E25" t="str">
            <v>Brook House Junior</v>
          </cell>
          <cell r="F25">
            <v>339</v>
          </cell>
          <cell r="G25">
            <v>1156962.4483785618</v>
          </cell>
          <cell r="H25">
            <v>15269.77553989347</v>
          </cell>
          <cell r="I25">
            <v>25259.33302798267</v>
          </cell>
          <cell r="J25">
            <v>23681.012374276226</v>
          </cell>
          <cell r="K25">
            <v>94804.044265593577</v>
          </cell>
          <cell r="L25">
            <v>1694.9999999999993</v>
          </cell>
          <cell r="M25">
            <v>1317671.6135863077</v>
          </cell>
          <cell r="N25">
            <v>121300</v>
          </cell>
          <cell r="O25">
            <v>0</v>
          </cell>
          <cell r="P25">
            <v>6863.3864136922202</v>
          </cell>
          <cell r="Q25">
            <v>6863.3864136922202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22829</v>
          </cell>
          <cell r="Z25">
            <v>1468663.9999999995</v>
          </cell>
          <cell r="AA25">
            <v>0</v>
          </cell>
          <cell r="AC25">
            <v>4</v>
          </cell>
          <cell r="AD25">
            <v>1326757</v>
          </cell>
          <cell r="AE25">
            <v>141906.99999999953</v>
          </cell>
          <cell r="AF25">
            <v>0</v>
          </cell>
          <cell r="AG25">
            <v>1441714.1252370831</v>
          </cell>
          <cell r="AH25">
            <v>26949.874762916472</v>
          </cell>
          <cell r="AI25">
            <v>1.8692939391493229E-2</v>
          </cell>
          <cell r="AK25">
            <v>4252.8440272480329</v>
          </cell>
          <cell r="AL25">
            <v>4332.342182890854</v>
          </cell>
        </row>
        <row r="26">
          <cell r="A26">
            <v>3735204</v>
          </cell>
          <cell r="B26">
            <v>0</v>
          </cell>
          <cell r="C26">
            <v>0</v>
          </cell>
          <cell r="D26">
            <v>5204</v>
          </cell>
          <cell r="E26" t="str">
            <v>Broomhill Infant School</v>
          </cell>
          <cell r="F26">
            <v>112</v>
          </cell>
          <cell r="G26">
            <v>382241.28088023281</v>
          </cell>
          <cell r="H26">
            <v>4362.793011398112</v>
          </cell>
          <cell r="I26">
            <v>5719.0942704866511</v>
          </cell>
          <cell r="J26">
            <v>7632.5769262743524</v>
          </cell>
          <cell r="K26">
            <v>36826.797496193532</v>
          </cell>
          <cell r="L26">
            <v>21972.222222222208</v>
          </cell>
          <cell r="M26">
            <v>458754.76480680768</v>
          </cell>
          <cell r="N26">
            <v>121300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22502.013995056885</v>
          </cell>
          <cell r="U26">
            <v>22502.013995056885</v>
          </cell>
          <cell r="V26">
            <v>0</v>
          </cell>
          <cell r="W26">
            <v>0</v>
          </cell>
          <cell r="X26">
            <v>0</v>
          </cell>
          <cell r="Y26">
            <v>1522</v>
          </cell>
          <cell r="Z26">
            <v>604078.7788018646</v>
          </cell>
          <cell r="AA26">
            <v>0</v>
          </cell>
          <cell r="AC26">
            <v>-5</v>
          </cell>
          <cell r="AD26">
            <v>542570.96402389195</v>
          </cell>
          <cell r="AE26">
            <v>61507.814777972642</v>
          </cell>
          <cell r="AF26">
            <v>-5</v>
          </cell>
          <cell r="AG26">
            <v>615745.380810712</v>
          </cell>
          <cell r="AH26">
            <v>-11666.602008847403</v>
          </cell>
          <cell r="AI26">
            <v>-1.8947120632048828E-2</v>
          </cell>
          <cell r="AK26">
            <v>5262.7810325701885</v>
          </cell>
          <cell r="AL26">
            <v>5393.5605250166482</v>
          </cell>
        </row>
        <row r="27">
          <cell r="A27">
            <v>3732325</v>
          </cell>
          <cell r="B27">
            <v>0</v>
          </cell>
          <cell r="C27">
            <v>0</v>
          </cell>
          <cell r="D27">
            <v>2325</v>
          </cell>
          <cell r="E27" t="str">
            <v>Brunswick Community Primary School</v>
          </cell>
          <cell r="F27">
            <v>413</v>
          </cell>
          <cell r="G27">
            <v>1409514.7232458584</v>
          </cell>
          <cell r="H27">
            <v>53080.648305343719</v>
          </cell>
          <cell r="I27">
            <v>73871.63432711942</v>
          </cell>
          <cell r="J27">
            <v>79005.452167642594</v>
          </cell>
          <cell r="K27">
            <v>159586.52298850575</v>
          </cell>
          <cell r="L27">
            <v>4614.1666666666597</v>
          </cell>
          <cell r="M27">
            <v>1779673.1477011365</v>
          </cell>
          <cell r="N27">
            <v>121300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35757</v>
          </cell>
          <cell r="Z27">
            <v>1936730.1477011365</v>
          </cell>
          <cell r="AA27">
            <v>0</v>
          </cell>
          <cell r="AC27">
            <v>5</v>
          </cell>
          <cell r="AD27">
            <v>1714367.0266148699</v>
          </cell>
          <cell r="AE27">
            <v>222363.12108626659</v>
          </cell>
          <cell r="AF27">
            <v>6</v>
          </cell>
          <cell r="AG27">
            <v>1869087.4850830163</v>
          </cell>
          <cell r="AH27">
            <v>67642.662618120201</v>
          </cell>
          <cell r="AI27">
            <v>3.6190206803035668E-2</v>
          </cell>
          <cell r="AK27">
            <v>4592.352543201514</v>
          </cell>
          <cell r="AL27">
            <v>4689.4192438284181</v>
          </cell>
        </row>
        <row r="28">
          <cell r="A28">
            <v>3732095</v>
          </cell>
          <cell r="B28" t="str">
            <v>Recoupment Academy</v>
          </cell>
          <cell r="C28">
            <v>0</v>
          </cell>
          <cell r="D28">
            <v>2095</v>
          </cell>
          <cell r="E28" t="str">
            <v>Byron Wood Primary Academy</v>
          </cell>
          <cell r="F28">
            <v>395</v>
          </cell>
          <cell r="G28">
            <v>1348083.0888186782</v>
          </cell>
          <cell r="H28">
            <v>69804.688182369937</v>
          </cell>
          <cell r="I28">
            <v>96748.011409065919</v>
          </cell>
          <cell r="J28">
            <v>131371.73554818385</v>
          </cell>
          <cell r="K28">
            <v>145894.33656957929</v>
          </cell>
          <cell r="L28">
            <v>99479.765395894356</v>
          </cell>
          <cell r="M28">
            <v>1891381.6259237716</v>
          </cell>
          <cell r="N28">
            <v>121300</v>
          </cell>
          <cell r="O28">
            <v>1261.1928934010195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5846</v>
          </cell>
          <cell r="Z28">
            <v>2019788.8188171724</v>
          </cell>
          <cell r="AA28">
            <v>0</v>
          </cell>
          <cell r="AC28">
            <v>16</v>
          </cell>
          <cell r="AD28">
            <v>1936880.40979021</v>
          </cell>
          <cell r="AE28">
            <v>82908.409026962472</v>
          </cell>
          <cell r="AF28">
            <v>-14</v>
          </cell>
          <cell r="AG28">
            <v>2027797.5552663764</v>
          </cell>
          <cell r="AH28">
            <v>-8008.7364492039196</v>
          </cell>
          <cell r="AI28">
            <v>-3.9494753450138535E-3</v>
          </cell>
          <cell r="AK28">
            <v>4957.9402329251252</v>
          </cell>
          <cell r="AL28">
            <v>5113.3894147270184</v>
          </cell>
        </row>
        <row r="29">
          <cell r="A29">
            <v>3732344</v>
          </cell>
          <cell r="B29">
            <v>0</v>
          </cell>
          <cell r="C29">
            <v>0</v>
          </cell>
          <cell r="D29">
            <v>2344</v>
          </cell>
          <cell r="E29" t="str">
            <v>Carfield Primary School</v>
          </cell>
          <cell r="F29">
            <v>550</v>
          </cell>
          <cell r="G29">
            <v>1877077.718608286</v>
          </cell>
          <cell r="H29">
            <v>51989.950052494234</v>
          </cell>
          <cell r="I29">
            <v>73395.043137912144</v>
          </cell>
          <cell r="J29">
            <v>82475.44144056541</v>
          </cell>
          <cell r="K29">
            <v>130421.8415417559</v>
          </cell>
          <cell r="L29">
            <v>17966.274089935749</v>
          </cell>
          <cell r="M29">
            <v>2233326.2688709493</v>
          </cell>
          <cell r="N29">
            <v>121300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1560.8247415548615</v>
          </cell>
          <cell r="U29">
            <v>1560.8247415548615</v>
          </cell>
          <cell r="V29">
            <v>0</v>
          </cell>
          <cell r="W29">
            <v>0</v>
          </cell>
          <cell r="X29">
            <v>0</v>
          </cell>
          <cell r="Y29">
            <v>32103</v>
          </cell>
          <cell r="Z29">
            <v>2388290.0936125033</v>
          </cell>
          <cell r="AA29">
            <v>0</v>
          </cell>
          <cell r="AC29">
            <v>27</v>
          </cell>
          <cell r="AD29">
            <v>2205049.28932998</v>
          </cell>
          <cell r="AE29">
            <v>183240.80428252323</v>
          </cell>
          <cell r="AF29">
            <v>-2</v>
          </cell>
          <cell r="AG29">
            <v>2351821.2899714056</v>
          </cell>
          <cell r="AH29">
            <v>36468.80364109762</v>
          </cell>
          <cell r="AI29">
            <v>1.5506621951509343E-2</v>
          </cell>
          <cell r="AK29">
            <v>4260.5458151655903</v>
          </cell>
          <cell r="AL29">
            <v>4342.3456247500062</v>
          </cell>
        </row>
        <row r="30">
          <cell r="A30">
            <v>3732023</v>
          </cell>
          <cell r="B30">
            <v>0</v>
          </cell>
          <cell r="C30">
            <v>0</v>
          </cell>
          <cell r="D30">
            <v>2023</v>
          </cell>
          <cell r="E30" t="str">
            <v>Carter Knowle Junior School</v>
          </cell>
          <cell r="F30">
            <v>223</v>
          </cell>
          <cell r="G30">
            <v>761069.69318117783</v>
          </cell>
          <cell r="H30">
            <v>9452.7181913625809</v>
          </cell>
          <cell r="I30">
            <v>14297.735676216671</v>
          </cell>
          <cell r="J30">
            <v>2338.308487255264</v>
          </cell>
          <cell r="K30">
            <v>49766.050156739817</v>
          </cell>
          <cell r="L30">
            <v>5701.1312217194518</v>
          </cell>
          <cell r="M30">
            <v>842625.63691447151</v>
          </cell>
          <cell r="N30">
            <v>121300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9243.0781015594239</v>
          </cell>
          <cell r="U30">
            <v>9243.0781015594239</v>
          </cell>
          <cell r="V30">
            <v>0</v>
          </cell>
          <cell r="W30">
            <v>0</v>
          </cell>
          <cell r="X30">
            <v>0</v>
          </cell>
          <cell r="Y30">
            <v>16467</v>
          </cell>
          <cell r="Z30">
            <v>989635.71501603071</v>
          </cell>
          <cell r="AA30">
            <v>0</v>
          </cell>
          <cell r="AC30">
            <v>-9</v>
          </cell>
          <cell r="AD30">
            <v>840785.08334192005</v>
          </cell>
          <cell r="AE30">
            <v>148850.63167411066</v>
          </cell>
          <cell r="AF30">
            <v>-2</v>
          </cell>
          <cell r="AG30">
            <v>980422.67958584253</v>
          </cell>
          <cell r="AH30">
            <v>9213.0354301881744</v>
          </cell>
          <cell r="AI30">
            <v>9.3970035802109497E-3</v>
          </cell>
          <cell r="AK30">
            <v>4357.4341314926332</v>
          </cell>
          <cell r="AL30">
            <v>4437.8283184575366</v>
          </cell>
        </row>
        <row r="31">
          <cell r="A31">
            <v>3732354</v>
          </cell>
          <cell r="B31" t="str">
            <v>Recoupment Academy</v>
          </cell>
          <cell r="C31">
            <v>0</v>
          </cell>
          <cell r="D31">
            <v>2354</v>
          </cell>
          <cell r="E31" t="str">
            <v>Charnock Hall Primary Academy</v>
          </cell>
          <cell r="F31">
            <v>401</v>
          </cell>
          <cell r="G31">
            <v>1368560.3002944048</v>
          </cell>
          <cell r="H31">
            <v>28358.154574087737</v>
          </cell>
          <cell r="I31">
            <v>39080.477514992206</v>
          </cell>
          <cell r="J31">
            <v>45215.271164812359</v>
          </cell>
          <cell r="K31">
            <v>126667.46397694525</v>
          </cell>
          <cell r="L31">
            <v>2657.6539589442873</v>
          </cell>
          <cell r="M31">
            <v>1610539.3214841869</v>
          </cell>
          <cell r="N31">
            <v>121300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598.80502895478639</v>
          </cell>
          <cell r="U31">
            <v>598.80502895478639</v>
          </cell>
          <cell r="V31">
            <v>0</v>
          </cell>
          <cell r="W31">
            <v>0</v>
          </cell>
          <cell r="X31">
            <v>0</v>
          </cell>
          <cell r="Y31">
            <v>4890</v>
          </cell>
          <cell r="Z31">
            <v>1737328.1265131421</v>
          </cell>
          <cell r="AA31">
            <v>0</v>
          </cell>
          <cell r="AC31">
            <v>-1</v>
          </cell>
          <cell r="AD31">
            <v>1500000</v>
          </cell>
          <cell r="AE31">
            <v>237328.12651314214</v>
          </cell>
          <cell r="AF31">
            <v>13</v>
          </cell>
          <cell r="AG31">
            <v>1654529.517576267</v>
          </cell>
          <cell r="AH31">
            <v>82798.608936875127</v>
          </cell>
          <cell r="AI31">
            <v>5.0043597323163776E-2</v>
          </cell>
          <cell r="AK31">
            <v>4264.2513339594507</v>
          </cell>
          <cell r="AL31">
            <v>4332.489093548983</v>
          </cell>
        </row>
        <row r="32">
          <cell r="A32">
            <v>3735200</v>
          </cell>
          <cell r="B32">
            <v>0</v>
          </cell>
          <cell r="C32">
            <v>0</v>
          </cell>
          <cell r="D32">
            <v>5200</v>
          </cell>
          <cell r="E32" t="str">
            <v>Clifford All Saints CofE Primary School</v>
          </cell>
          <cell r="F32">
            <v>191</v>
          </cell>
          <cell r="G32">
            <v>651857.89864396839</v>
          </cell>
          <cell r="H32">
            <v>8362.01993851304</v>
          </cell>
          <cell r="I32">
            <v>12391.370919387782</v>
          </cell>
          <cell r="J32">
            <v>12160.724841515079</v>
          </cell>
          <cell r="K32">
            <v>35742.547770700636</v>
          </cell>
          <cell r="L32">
            <v>8783.7790697674409</v>
          </cell>
          <cell r="M32">
            <v>729298.3411838524</v>
          </cell>
          <cell r="N32">
            <v>121300</v>
          </cell>
          <cell r="O32">
            <v>4199.4999999999991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30155.174705677397</v>
          </cell>
          <cell r="U32">
            <v>30155.174705677397</v>
          </cell>
          <cell r="V32">
            <v>0</v>
          </cell>
          <cell r="W32">
            <v>47365.499765224995</v>
          </cell>
          <cell r="X32">
            <v>0</v>
          </cell>
          <cell r="Y32">
            <v>6163</v>
          </cell>
          <cell r="Z32">
            <v>938481.51565475482</v>
          </cell>
          <cell r="AA32">
            <v>0</v>
          </cell>
          <cell r="AC32">
            <v>-85</v>
          </cell>
          <cell r="AD32">
            <v>531541.14831762097</v>
          </cell>
          <cell r="AE32">
            <v>406940.36733713385</v>
          </cell>
          <cell r="AF32">
            <v>23</v>
          </cell>
          <cell r="AG32">
            <v>826557.21584021929</v>
          </cell>
          <cell r="AH32">
            <v>111924.29981453554</v>
          </cell>
          <cell r="AI32">
            <v>0.1354102265029061</v>
          </cell>
          <cell r="AK32">
            <v>4919.9834276203528</v>
          </cell>
          <cell r="AL32">
            <v>4913.5157887683499</v>
          </cell>
        </row>
        <row r="33">
          <cell r="A33">
            <v>3732312</v>
          </cell>
          <cell r="B33">
            <v>0</v>
          </cell>
          <cell r="C33">
            <v>0</v>
          </cell>
          <cell r="D33">
            <v>2312</v>
          </cell>
          <cell r="E33" t="str">
            <v>Coit Primary School</v>
          </cell>
          <cell r="F33">
            <v>201</v>
          </cell>
          <cell r="G33">
            <v>685986.58443684631</v>
          </cell>
          <cell r="H33">
            <v>9089.1521070793879</v>
          </cell>
          <cell r="I33">
            <v>13344.553297802235</v>
          </cell>
          <cell r="J33">
            <v>11616.813215049389</v>
          </cell>
          <cell r="K33">
            <v>38715.340909090904</v>
          </cell>
          <cell r="L33">
            <v>3320.614035087714</v>
          </cell>
          <cell r="M33">
            <v>762073.05800095596</v>
          </cell>
          <cell r="N33">
            <v>121300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2982.4676199973383</v>
          </cell>
          <cell r="U33">
            <v>2982.4676199973383</v>
          </cell>
          <cell r="V33">
            <v>0</v>
          </cell>
          <cell r="W33">
            <v>0</v>
          </cell>
          <cell r="X33">
            <v>0</v>
          </cell>
          <cell r="Y33">
            <v>16467</v>
          </cell>
          <cell r="Z33">
            <v>902822.52562095353</v>
          </cell>
          <cell r="AA33">
            <v>0</v>
          </cell>
          <cell r="AC33">
            <v>7</v>
          </cell>
          <cell r="AD33">
            <v>827125.71372006298</v>
          </cell>
          <cell r="AE33">
            <v>75696.811900890549</v>
          </cell>
          <cell r="AF33">
            <v>-1</v>
          </cell>
          <cell r="AG33">
            <v>891553.05099708866</v>
          </cell>
          <cell r="AH33">
            <v>11269.474623864866</v>
          </cell>
          <cell r="AI33">
            <v>1.2640273746202082E-2</v>
          </cell>
          <cell r="AK33">
            <v>4413.6289653321219</v>
          </cell>
          <cell r="AL33">
            <v>4491.6543563231517</v>
          </cell>
        </row>
        <row r="34">
          <cell r="A34">
            <v>3732026</v>
          </cell>
          <cell r="B34" t="str">
            <v>Recoupment Academy</v>
          </cell>
          <cell r="C34">
            <v>0</v>
          </cell>
          <cell r="D34">
            <v>2026</v>
          </cell>
          <cell r="E34" t="str">
            <v>Concord Junior School</v>
          </cell>
          <cell r="F34">
            <v>190</v>
          </cell>
          <cell r="G34">
            <v>648445.03006468061</v>
          </cell>
          <cell r="H34">
            <v>35265.91017546814</v>
          </cell>
          <cell r="I34">
            <v>48612.301299136612</v>
          </cell>
          <cell r="J34">
            <v>46237.151040762212</v>
          </cell>
          <cell r="K34">
            <v>93122.891566265069</v>
          </cell>
          <cell r="L34">
            <v>12994.99999999996</v>
          </cell>
          <cell r="M34">
            <v>884678.28414631262</v>
          </cell>
          <cell r="N34">
            <v>121300</v>
          </cell>
          <cell r="O34">
            <v>6193.0952380952322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3661</v>
          </cell>
          <cell r="Z34">
            <v>1015832.3793844078</v>
          </cell>
          <cell r="AA34">
            <v>0</v>
          </cell>
          <cell r="AC34">
            <v>16</v>
          </cell>
          <cell r="AD34">
            <v>969533.35768789705</v>
          </cell>
          <cell r="AE34">
            <v>46299.021696510725</v>
          </cell>
          <cell r="AF34">
            <v>-19</v>
          </cell>
          <cell r="AG34">
            <v>1066744.021759714</v>
          </cell>
          <cell r="AH34">
            <v>-50911.642375306226</v>
          </cell>
          <cell r="AI34">
            <v>-4.7726203603486575E-2</v>
          </cell>
          <cell r="AK34">
            <v>5104.0383816254262</v>
          </cell>
          <cell r="AL34">
            <v>5346.4862072863571</v>
          </cell>
        </row>
        <row r="35">
          <cell r="A35">
            <v>3733422</v>
          </cell>
          <cell r="B35">
            <v>0</v>
          </cell>
          <cell r="C35">
            <v>0</v>
          </cell>
          <cell r="D35">
            <v>3422</v>
          </cell>
          <cell r="E35" t="str">
            <v>Deepcar St John's Church of England Junior School</v>
          </cell>
          <cell r="F35">
            <v>166</v>
          </cell>
          <cell r="G35">
            <v>566536.18416177365</v>
          </cell>
          <cell r="H35">
            <v>10906.982528495289</v>
          </cell>
          <cell r="I35">
            <v>18110.46518987439</v>
          </cell>
          <cell r="J35">
            <v>11187.988342546758</v>
          </cell>
          <cell r="K35">
            <v>49213.003802281375</v>
          </cell>
          <cell r="L35">
            <v>1129.9999999999966</v>
          </cell>
          <cell r="M35">
            <v>657084.62402497139</v>
          </cell>
          <cell r="N35">
            <v>121300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8578.3602724434877</v>
          </cell>
          <cell r="U35">
            <v>8578.3602724434877</v>
          </cell>
          <cell r="V35">
            <v>0</v>
          </cell>
          <cell r="W35">
            <v>0</v>
          </cell>
          <cell r="X35">
            <v>0</v>
          </cell>
          <cell r="Y35">
            <v>3194</v>
          </cell>
          <cell r="Z35">
            <v>790156.98429741466</v>
          </cell>
          <cell r="AA35">
            <v>0</v>
          </cell>
          <cell r="AC35">
            <v>-12</v>
          </cell>
          <cell r="AD35">
            <v>651336.99554883398</v>
          </cell>
          <cell r="AE35">
            <v>138819.98874858068</v>
          </cell>
          <cell r="AF35">
            <v>9</v>
          </cell>
          <cell r="AG35">
            <v>741805.05735107744</v>
          </cell>
          <cell r="AH35">
            <v>48351.926946337218</v>
          </cell>
          <cell r="AI35">
            <v>6.5181446887134772E-2</v>
          </cell>
          <cell r="AK35">
            <v>4724.8729767584555</v>
          </cell>
          <cell r="AL35">
            <v>4759.9818331169554</v>
          </cell>
        </row>
        <row r="36">
          <cell r="A36">
            <v>3732283</v>
          </cell>
          <cell r="B36">
            <v>0</v>
          </cell>
          <cell r="C36">
            <v>0</v>
          </cell>
          <cell r="D36">
            <v>2283</v>
          </cell>
          <cell r="E36" t="str">
            <v>Dobcroft Infant School</v>
          </cell>
          <cell r="F36">
            <v>270</v>
          </cell>
          <cell r="G36">
            <v>921474.51640770398</v>
          </cell>
          <cell r="H36">
            <v>2544.9625899822327</v>
          </cell>
          <cell r="I36">
            <v>3336.1383244505478</v>
          </cell>
          <cell r="J36">
            <v>375.96380082783338</v>
          </cell>
          <cell r="K36">
            <v>88778.886821180844</v>
          </cell>
          <cell r="L36">
            <v>33052.500000000051</v>
          </cell>
          <cell r="M36">
            <v>1049562.9679441454</v>
          </cell>
          <cell r="N36">
            <v>121300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15413</v>
          </cell>
          <cell r="Z36">
            <v>1186275.9679441454</v>
          </cell>
          <cell r="AA36">
            <v>0</v>
          </cell>
          <cell r="AC36">
            <v>1</v>
          </cell>
          <cell r="AD36">
            <v>1028293.1237999999</v>
          </cell>
          <cell r="AE36">
            <v>157982.84414414549</v>
          </cell>
          <cell r="AF36">
            <v>0</v>
          </cell>
          <cell r="AG36">
            <v>1144013.0000000002</v>
          </cell>
          <cell r="AH36">
            <v>42262.967944145203</v>
          </cell>
          <cell r="AI36">
            <v>3.6942733993534337E-2</v>
          </cell>
          <cell r="AK36">
            <v>4237.0851851851858</v>
          </cell>
          <cell r="AL36">
            <v>4393.6146960894275</v>
          </cell>
        </row>
        <row r="37">
          <cell r="A37">
            <v>3732239</v>
          </cell>
          <cell r="B37">
            <v>0</v>
          </cell>
          <cell r="C37">
            <v>0</v>
          </cell>
          <cell r="D37">
            <v>2239</v>
          </cell>
          <cell r="E37" t="str">
            <v>Dobcroft Junior School</v>
          </cell>
          <cell r="F37">
            <v>419</v>
          </cell>
          <cell r="G37">
            <v>1429991.9347215851</v>
          </cell>
          <cell r="H37">
            <v>8362.0199385130563</v>
          </cell>
          <cell r="I37">
            <v>12391.37091938776</v>
          </cell>
          <cell r="J37">
            <v>2366.2837146846814</v>
          </cell>
          <cell r="K37">
            <v>65846.821192052972</v>
          </cell>
          <cell r="L37">
            <v>9040.0000000000073</v>
          </cell>
          <cell r="M37">
            <v>1527998.4304862237</v>
          </cell>
          <cell r="N37">
            <v>121300</v>
          </cell>
          <cell r="O37">
            <v>0</v>
          </cell>
          <cell r="P37">
            <v>137736.56951377637</v>
          </cell>
          <cell r="Q37">
            <v>137736.56951377637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21285</v>
          </cell>
          <cell r="Z37">
            <v>1808320</v>
          </cell>
          <cell r="AA37">
            <v>0</v>
          </cell>
          <cell r="AC37">
            <v>-17</v>
          </cell>
          <cell r="AD37">
            <v>1524130.2662</v>
          </cell>
          <cell r="AE37">
            <v>284189.73380000005</v>
          </cell>
          <cell r="AF37">
            <v>3</v>
          </cell>
          <cell r="AG37">
            <v>1760165.0000000007</v>
          </cell>
          <cell r="AH37">
            <v>48154.999999999302</v>
          </cell>
          <cell r="AI37">
            <v>2.7358230620424383E-2</v>
          </cell>
          <cell r="AK37">
            <v>4231.1658653846171</v>
          </cell>
          <cell r="AL37">
            <v>4315.7995226730309</v>
          </cell>
        </row>
        <row r="38">
          <cell r="A38">
            <v>3732364</v>
          </cell>
          <cell r="B38">
            <v>0</v>
          </cell>
          <cell r="C38">
            <v>0</v>
          </cell>
          <cell r="D38">
            <v>2364</v>
          </cell>
          <cell r="E38" t="str">
            <v>Dore Primary School</v>
          </cell>
          <cell r="F38">
            <v>446</v>
          </cell>
          <cell r="G38">
            <v>1522139.3863623557</v>
          </cell>
          <cell r="H38">
            <v>10906.982528495297</v>
          </cell>
          <cell r="I38">
            <v>14774.326865423867</v>
          </cell>
          <cell r="J38">
            <v>530.22578222031223</v>
          </cell>
          <cell r="K38">
            <v>105878.15126050422</v>
          </cell>
          <cell r="L38">
            <v>3480.5248618784535</v>
          </cell>
          <cell r="M38">
            <v>1657709.597660878</v>
          </cell>
          <cell r="N38">
            <v>121300</v>
          </cell>
          <cell r="O38">
            <v>0</v>
          </cell>
          <cell r="P38">
            <v>123180.40233912207</v>
          </cell>
          <cell r="Q38">
            <v>123180.40233912207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30798</v>
          </cell>
          <cell r="Z38">
            <v>1932988.0000000005</v>
          </cell>
          <cell r="AA38">
            <v>0</v>
          </cell>
          <cell r="AC38">
            <v>20</v>
          </cell>
          <cell r="AD38">
            <v>1777335.19</v>
          </cell>
          <cell r="AE38">
            <v>155652.81000000052</v>
          </cell>
          <cell r="AF38">
            <v>21</v>
          </cell>
          <cell r="AG38">
            <v>1807298.0000000005</v>
          </cell>
          <cell r="AH38">
            <v>125690</v>
          </cell>
          <cell r="AI38">
            <v>6.9545808162239972E-2</v>
          </cell>
          <cell r="AK38">
            <v>4252.4658823529426</v>
          </cell>
          <cell r="AL38">
            <v>4334.0538116591943</v>
          </cell>
        </row>
        <row r="39">
          <cell r="A39">
            <v>3732016</v>
          </cell>
          <cell r="B39" t="str">
            <v>Recoupment Academy</v>
          </cell>
          <cell r="C39">
            <v>0</v>
          </cell>
          <cell r="D39">
            <v>2016</v>
          </cell>
          <cell r="E39" t="str">
            <v>E-ACT Pathways Academy</v>
          </cell>
          <cell r="F39">
            <v>350</v>
          </cell>
          <cell r="G39">
            <v>1194504.0027507273</v>
          </cell>
          <cell r="H39">
            <v>71986.084688068964</v>
          </cell>
          <cell r="I39">
            <v>98177.784976687719</v>
          </cell>
          <cell r="J39">
            <v>130439.86365982887</v>
          </cell>
          <cell r="K39">
            <v>147026.0223048327</v>
          </cell>
          <cell r="L39">
            <v>24637.704918032741</v>
          </cell>
          <cell r="M39">
            <v>1666771.4632981785</v>
          </cell>
          <cell r="N39">
            <v>121300</v>
          </cell>
          <cell r="O39">
            <v>21508.908045976881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6451</v>
          </cell>
          <cell r="Z39">
            <v>1816031.3713441554</v>
          </cell>
          <cell r="AA39">
            <v>0</v>
          </cell>
          <cell r="AC39">
            <v>60</v>
          </cell>
          <cell r="AD39">
            <v>1895783.77494523</v>
          </cell>
          <cell r="AE39">
            <v>-79752.403601074591</v>
          </cell>
          <cell r="AF39">
            <v>-3</v>
          </cell>
          <cell r="AG39">
            <v>1758719.2969569147</v>
          </cell>
          <cell r="AH39">
            <v>57312.074387240689</v>
          </cell>
          <cell r="AI39">
            <v>3.2587391567492838E-2</v>
          </cell>
          <cell r="AK39">
            <v>4982.2076401045742</v>
          </cell>
          <cell r="AL39">
            <v>5188.6610609833015</v>
          </cell>
        </row>
        <row r="40">
          <cell r="A40">
            <v>3732206</v>
          </cell>
          <cell r="B40">
            <v>0</v>
          </cell>
          <cell r="C40">
            <v>0</v>
          </cell>
          <cell r="D40">
            <v>2206</v>
          </cell>
          <cell r="E40" t="str">
            <v>Ecclesall Primary School</v>
          </cell>
          <cell r="F40">
            <v>601</v>
          </cell>
          <cell r="G40">
            <v>2051134.0161519635</v>
          </cell>
          <cell r="H40">
            <v>9452.7181913625864</v>
          </cell>
          <cell r="I40">
            <v>14297.735676216638</v>
          </cell>
          <cell r="J40">
            <v>2636.0430668561844</v>
          </cell>
          <cell r="K40">
            <v>74995.950920245392</v>
          </cell>
          <cell r="L40">
            <v>9376.5483234713847</v>
          </cell>
          <cell r="M40">
            <v>2161893.0123301162</v>
          </cell>
          <cell r="N40">
            <v>121300</v>
          </cell>
          <cell r="O40">
            <v>0</v>
          </cell>
          <cell r="P40">
            <v>280071.9876698837</v>
          </cell>
          <cell r="Q40">
            <v>280071.9876698837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62118</v>
          </cell>
          <cell r="Z40">
            <v>2625382.9999999991</v>
          </cell>
          <cell r="AA40">
            <v>0</v>
          </cell>
          <cell r="AC40">
            <v>-26</v>
          </cell>
          <cell r="AD40">
            <v>2261488</v>
          </cell>
          <cell r="AE40">
            <v>363894.99999999907</v>
          </cell>
          <cell r="AF40">
            <v>4</v>
          </cell>
          <cell r="AG40">
            <v>2557577.9999999995</v>
          </cell>
          <cell r="AH40">
            <v>67804.999999999534</v>
          </cell>
          <cell r="AI40">
            <v>2.6511410404687383E-2</v>
          </cell>
          <cell r="AK40">
            <v>4284.0502512562807</v>
          </cell>
          <cell r="AL40">
            <v>4368.3577371048241</v>
          </cell>
        </row>
        <row r="41">
          <cell r="A41">
            <v>3732080</v>
          </cell>
          <cell r="B41">
            <v>0</v>
          </cell>
          <cell r="C41">
            <v>0</v>
          </cell>
          <cell r="D41">
            <v>2080</v>
          </cell>
          <cell r="E41" t="str">
            <v>Ecclesfield Primary School</v>
          </cell>
          <cell r="F41">
            <v>392</v>
          </cell>
          <cell r="G41">
            <v>1337844.4830808148</v>
          </cell>
          <cell r="H41">
            <v>38901.571018299823</v>
          </cell>
          <cell r="I41">
            <v>54331.395569623222</v>
          </cell>
          <cell r="J41">
            <v>73236.111940200732</v>
          </cell>
          <cell r="K41">
            <v>109036.30769230769</v>
          </cell>
          <cell r="L41">
            <v>6552.66272189348</v>
          </cell>
          <cell r="M41">
            <v>1619902.5320231398</v>
          </cell>
          <cell r="N41">
            <v>121300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22330</v>
          </cell>
          <cell r="Z41">
            <v>1763532.5320231398</v>
          </cell>
          <cell r="AA41">
            <v>0</v>
          </cell>
          <cell r="AC41">
            <v>17</v>
          </cell>
          <cell r="AD41">
            <v>1585113.84918329</v>
          </cell>
          <cell r="AE41">
            <v>178418.68283984973</v>
          </cell>
          <cell r="AF41">
            <v>-11</v>
          </cell>
          <cell r="AG41">
            <v>1768153.2068505981</v>
          </cell>
          <cell r="AH41">
            <v>-4620.6748274583369</v>
          </cell>
          <cell r="AI41">
            <v>-2.6132774069327386E-3</v>
          </cell>
          <cell r="AK41">
            <v>4387.476940075926</v>
          </cell>
          <cell r="AL41">
            <v>4498.8074796508663</v>
          </cell>
        </row>
        <row r="42">
          <cell r="A42">
            <v>3732024</v>
          </cell>
          <cell r="B42" t="str">
            <v>Recoupment Academy</v>
          </cell>
          <cell r="C42">
            <v>0</v>
          </cell>
          <cell r="D42">
            <v>2024</v>
          </cell>
          <cell r="E42" t="str">
            <v>Emmanuel Anglican/Methodist Junior School</v>
          </cell>
          <cell r="F42">
            <v>187</v>
          </cell>
          <cell r="G42">
            <v>638206.42432681727</v>
          </cell>
          <cell r="H42">
            <v>22541.09722555691</v>
          </cell>
          <cell r="I42">
            <v>32408.200866091101</v>
          </cell>
          <cell r="J42">
            <v>25950.288101365884</v>
          </cell>
          <cell r="K42">
            <v>81149.467680608373</v>
          </cell>
          <cell r="L42">
            <v>0</v>
          </cell>
          <cell r="M42">
            <v>800255.4782004396</v>
          </cell>
          <cell r="N42">
            <v>121300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6144</v>
          </cell>
          <cell r="Z42">
            <v>927699.4782004396</v>
          </cell>
          <cell r="AA42">
            <v>0</v>
          </cell>
          <cell r="AC42">
            <v>28</v>
          </cell>
          <cell r="AD42">
            <v>897130.17744223506</v>
          </cell>
          <cell r="AE42">
            <v>30569.300758204539</v>
          </cell>
          <cell r="AF42">
            <v>-22</v>
          </cell>
          <cell r="AG42">
            <v>980885.36939340353</v>
          </cell>
          <cell r="AH42">
            <v>-53185.891192963929</v>
          </cell>
          <cell r="AI42">
            <v>-5.422233102106009E-2</v>
          </cell>
          <cell r="AK42">
            <v>4693.2314325043235</v>
          </cell>
          <cell r="AL42">
            <v>4960.9597764729388</v>
          </cell>
        </row>
        <row r="43">
          <cell r="A43">
            <v>3732028</v>
          </cell>
          <cell r="B43" t="str">
            <v>Recoupment Academy</v>
          </cell>
          <cell r="C43">
            <v>0</v>
          </cell>
          <cell r="D43">
            <v>2028</v>
          </cell>
          <cell r="E43" t="str">
            <v>Emmaus Catholic and CofE Primary School</v>
          </cell>
          <cell r="F43">
            <v>296</v>
          </cell>
          <cell r="G43">
            <v>1010209.0994691866</v>
          </cell>
          <cell r="H43">
            <v>47990.7231253793</v>
          </cell>
          <cell r="I43">
            <v>67675.948867425512</v>
          </cell>
          <cell r="J43">
            <v>102493.75210566743</v>
          </cell>
          <cell r="K43">
            <v>106548.06451612902</v>
          </cell>
          <cell r="L43">
            <v>30468.825910931217</v>
          </cell>
          <cell r="M43">
            <v>1365386.413994719</v>
          </cell>
          <cell r="N43">
            <v>121300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8346</v>
          </cell>
          <cell r="Z43">
            <v>1495032.413994719</v>
          </cell>
          <cell r="AA43">
            <v>0</v>
          </cell>
          <cell r="AC43">
            <v>16</v>
          </cell>
          <cell r="AD43">
            <v>1391663.3088038999</v>
          </cell>
          <cell r="AE43">
            <v>103369.10519081913</v>
          </cell>
          <cell r="AF43">
            <v>1</v>
          </cell>
          <cell r="AG43">
            <v>1441638.6288482344</v>
          </cell>
          <cell r="AH43">
            <v>53393.785146484617</v>
          </cell>
          <cell r="AI43">
            <v>3.7036871847102498E-2</v>
          </cell>
          <cell r="AK43">
            <v>4886.9106062652017</v>
          </cell>
          <cell r="AL43">
            <v>5050.785182414591</v>
          </cell>
        </row>
        <row r="44">
          <cell r="A44">
            <v>3732010</v>
          </cell>
          <cell r="B44" t="str">
            <v>Recoupment Academy</v>
          </cell>
          <cell r="C44">
            <v>0</v>
          </cell>
          <cell r="D44">
            <v>2010</v>
          </cell>
          <cell r="E44" t="str">
            <v>Fox Hill Primary</v>
          </cell>
          <cell r="F44">
            <v>291</v>
          </cell>
          <cell r="G44">
            <v>993144.75657274772</v>
          </cell>
          <cell r="H44">
            <v>56716.309148175518</v>
          </cell>
          <cell r="I44">
            <v>76254.590273155438</v>
          </cell>
          <cell r="J44">
            <v>97363.835031224953</v>
          </cell>
          <cell r="K44">
            <v>157506.80672268907</v>
          </cell>
          <cell r="L44">
            <v>6498.6166007905067</v>
          </cell>
          <cell r="M44">
            <v>1387484.914348783</v>
          </cell>
          <cell r="N44">
            <v>121300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75819.613578399323</v>
          </cell>
          <cell r="U44">
            <v>75819.613578399323</v>
          </cell>
          <cell r="V44">
            <v>0</v>
          </cell>
          <cell r="W44">
            <v>0</v>
          </cell>
          <cell r="X44">
            <v>0</v>
          </cell>
          <cell r="Y44">
            <v>7987</v>
          </cell>
          <cell r="Z44">
            <v>1592591.5279271819</v>
          </cell>
          <cell r="AA44">
            <v>0</v>
          </cell>
          <cell r="AC44">
            <v>5</v>
          </cell>
          <cell r="AD44">
            <v>1503072.8160962199</v>
          </cell>
          <cell r="AE44">
            <v>89518.711830961984</v>
          </cell>
          <cell r="AF44">
            <v>-9</v>
          </cell>
          <cell r="AG44">
            <v>1608268.9343106011</v>
          </cell>
          <cell r="AH44">
            <v>-15677.406383419177</v>
          </cell>
          <cell r="AI44">
            <v>-9.7480005047411045E-3</v>
          </cell>
          <cell r="AK44">
            <v>5360.8964477020036</v>
          </cell>
          <cell r="AL44">
            <v>5472.8231200246801</v>
          </cell>
        </row>
        <row r="45">
          <cell r="A45">
            <v>3732036</v>
          </cell>
          <cell r="B45">
            <v>0</v>
          </cell>
          <cell r="C45">
            <v>0</v>
          </cell>
          <cell r="D45">
            <v>2036</v>
          </cell>
          <cell r="E45" t="str">
            <v>Gleadless Primary School</v>
          </cell>
          <cell r="F45">
            <v>393</v>
          </cell>
          <cell r="G45">
            <v>1341257.3516601026</v>
          </cell>
          <cell r="H45">
            <v>42173.665776848517</v>
          </cell>
          <cell r="I45">
            <v>58144.125083281091</v>
          </cell>
          <cell r="J45">
            <v>61027.329565949432</v>
          </cell>
          <cell r="K45">
            <v>127864.9226006192</v>
          </cell>
          <cell r="L45">
            <v>6037.477341389731</v>
          </cell>
          <cell r="M45">
            <v>1636504.8720281909</v>
          </cell>
          <cell r="N45">
            <v>121300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32886</v>
          </cell>
          <cell r="Z45">
            <v>1790690.8720281909</v>
          </cell>
          <cell r="AA45">
            <v>0</v>
          </cell>
          <cell r="AC45">
            <v>25</v>
          </cell>
          <cell r="AD45">
            <v>1700076.85968716</v>
          </cell>
          <cell r="AE45">
            <v>90614.012341030873</v>
          </cell>
          <cell r="AF45">
            <v>-5</v>
          </cell>
          <cell r="AG45">
            <v>1813035.1595590203</v>
          </cell>
          <cell r="AH45">
            <v>-22344.287530829431</v>
          </cell>
          <cell r="AI45">
            <v>-1.2324243913871021E-2</v>
          </cell>
          <cell r="AK45">
            <v>4555.3647225101013</v>
          </cell>
          <cell r="AL45">
            <v>4556.4653232269484</v>
          </cell>
        </row>
        <row r="46">
          <cell r="A46">
            <v>3732305</v>
          </cell>
          <cell r="B46" t="str">
            <v>Recoupment Academy</v>
          </cell>
          <cell r="C46">
            <v>0</v>
          </cell>
          <cell r="D46">
            <v>2305</v>
          </cell>
          <cell r="E46" t="str">
            <v>Greengate Lane Academy</v>
          </cell>
          <cell r="F46">
            <v>187</v>
          </cell>
          <cell r="G46">
            <v>638206.42432681727</v>
          </cell>
          <cell r="H46">
            <v>34538.778006901797</v>
          </cell>
          <cell r="I46">
            <v>48135.710109929409</v>
          </cell>
          <cell r="J46">
            <v>43219.986509786992</v>
          </cell>
          <cell r="K46">
            <v>46385.121951219509</v>
          </cell>
          <cell r="L46">
            <v>3281.2111801242222</v>
          </cell>
          <cell r="M46">
            <v>813767.2320847793</v>
          </cell>
          <cell r="N46">
            <v>121300</v>
          </cell>
          <cell r="O46">
            <v>4421.4999999999991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45333.751206258901</v>
          </cell>
          <cell r="U46">
            <v>45333.751206258901</v>
          </cell>
          <cell r="V46">
            <v>0</v>
          </cell>
          <cell r="W46">
            <v>0</v>
          </cell>
          <cell r="X46">
            <v>0</v>
          </cell>
          <cell r="Y46">
            <v>3968</v>
          </cell>
          <cell r="Z46">
            <v>988790.48329103843</v>
          </cell>
          <cell r="AA46">
            <v>0</v>
          </cell>
          <cell r="AC46">
            <v>-5</v>
          </cell>
          <cell r="AD46">
            <v>923568.81598982099</v>
          </cell>
          <cell r="AE46">
            <v>65221.667301217443</v>
          </cell>
          <cell r="AF46">
            <v>0</v>
          </cell>
          <cell r="AG46">
            <v>971858.66989300668</v>
          </cell>
          <cell r="AH46">
            <v>16931.813398031751</v>
          </cell>
          <cell r="AI46">
            <v>1.7422094305024616E-2</v>
          </cell>
          <cell r="AK46">
            <v>5197.1051865936188</v>
          </cell>
          <cell r="AL46">
            <v>5287.6496432675849</v>
          </cell>
        </row>
        <row r="47">
          <cell r="A47">
            <v>3732341</v>
          </cell>
          <cell r="B47" t="str">
            <v>Recoupment Academy</v>
          </cell>
          <cell r="C47">
            <v>0</v>
          </cell>
          <cell r="D47">
            <v>2341</v>
          </cell>
          <cell r="E47" t="str">
            <v>Greenhill Primary School</v>
          </cell>
          <cell r="F47">
            <v>466</v>
          </cell>
          <cell r="G47">
            <v>1590396.7579481115</v>
          </cell>
          <cell r="H47">
            <v>53807.780473910097</v>
          </cell>
          <cell r="I47">
            <v>71965.269570290562</v>
          </cell>
          <cell r="J47">
            <v>75662.135492928297</v>
          </cell>
          <cell r="K47">
            <v>144448.37905236907</v>
          </cell>
          <cell r="L47">
            <v>15937.651331719124</v>
          </cell>
          <cell r="M47">
            <v>1952217.9738693286</v>
          </cell>
          <cell r="N47">
            <v>121300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6400</v>
          </cell>
          <cell r="Z47">
            <v>2079917.9738693286</v>
          </cell>
          <cell r="AA47">
            <v>0</v>
          </cell>
          <cell r="AC47">
            <v>35</v>
          </cell>
          <cell r="AD47">
            <v>1908322.34707247</v>
          </cell>
          <cell r="AE47">
            <v>171595.62679685862</v>
          </cell>
          <cell r="AF47">
            <v>-28</v>
          </cell>
          <cell r="AG47">
            <v>2141092.5201990483</v>
          </cell>
          <cell r="AH47">
            <v>-61174.546329719713</v>
          </cell>
          <cell r="AI47">
            <v>-2.8571650105074661E-2</v>
          </cell>
          <cell r="AK47">
            <v>4334.1953850183163</v>
          </cell>
          <cell r="AL47">
            <v>4463.3432915650828</v>
          </cell>
        </row>
        <row r="48">
          <cell r="A48">
            <v>3732296</v>
          </cell>
          <cell r="B48">
            <v>0</v>
          </cell>
          <cell r="C48">
            <v>0</v>
          </cell>
          <cell r="D48">
            <v>2296</v>
          </cell>
          <cell r="E48" t="str">
            <v>Grenoside Community Primary School</v>
          </cell>
          <cell r="F48">
            <v>314</v>
          </cell>
          <cell r="G48">
            <v>1071640.733896367</v>
          </cell>
          <cell r="H48">
            <v>23995.361562689672</v>
          </cell>
          <cell r="I48">
            <v>33837.974433712778</v>
          </cell>
          <cell r="J48">
            <v>43223.647712016791</v>
          </cell>
          <cell r="K48">
            <v>65327.870036101085</v>
          </cell>
          <cell r="L48">
            <v>3815.2688172042972</v>
          </cell>
          <cell r="M48">
            <v>1241840.8564580919</v>
          </cell>
          <cell r="N48">
            <v>121300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130103.3427675202</v>
          </cell>
          <cell r="W48">
            <v>0</v>
          </cell>
          <cell r="X48">
            <v>0</v>
          </cell>
          <cell r="Y48">
            <v>43065</v>
          </cell>
          <cell r="Z48">
            <v>1536309.1992256122</v>
          </cell>
          <cell r="AA48">
            <v>0</v>
          </cell>
          <cell r="AC48">
            <v>22</v>
          </cell>
          <cell r="AD48">
            <v>1443303.73743018</v>
          </cell>
          <cell r="AE48">
            <v>93005.46179543226</v>
          </cell>
          <cell r="AF48">
            <v>-13</v>
          </cell>
          <cell r="AG48">
            <v>1545950.8252872245</v>
          </cell>
          <cell r="AH48">
            <v>-9641.6260616122745</v>
          </cell>
          <cell r="AI48">
            <v>-6.2366964743661513E-3</v>
          </cell>
          <cell r="AK48">
            <v>4727.678364792735</v>
          </cell>
          <cell r="AL48">
            <v>4892.7044561325229</v>
          </cell>
        </row>
        <row r="49">
          <cell r="A49">
            <v>3732356</v>
          </cell>
          <cell r="B49">
            <v>0</v>
          </cell>
          <cell r="C49">
            <v>0</v>
          </cell>
          <cell r="D49">
            <v>2356</v>
          </cell>
          <cell r="E49" t="str">
            <v>Greystones Primary School</v>
          </cell>
          <cell r="F49">
            <v>625</v>
          </cell>
          <cell r="G49">
            <v>2133042.8620548705</v>
          </cell>
          <cell r="H49">
            <v>13815.511202760705</v>
          </cell>
          <cell r="I49">
            <v>20016.829946703307</v>
          </cell>
          <cell r="J49">
            <v>11357.843246061926</v>
          </cell>
          <cell r="K49">
            <v>125676.98259187621</v>
          </cell>
          <cell r="L49">
            <v>19801.401869158883</v>
          </cell>
          <cell r="M49">
            <v>2323711.4309114311</v>
          </cell>
          <cell r="N49">
            <v>121300</v>
          </cell>
          <cell r="O49">
            <v>0</v>
          </cell>
          <cell r="P49">
            <v>220613.56908856879</v>
          </cell>
          <cell r="Q49">
            <v>220613.56908856879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50112</v>
          </cell>
          <cell r="Z49">
            <v>2715737</v>
          </cell>
          <cell r="AA49">
            <v>0</v>
          </cell>
          <cell r="AC49">
            <v>-30</v>
          </cell>
          <cell r="AD49">
            <v>2279634</v>
          </cell>
          <cell r="AE49">
            <v>436103</v>
          </cell>
          <cell r="AF49">
            <v>35</v>
          </cell>
          <cell r="AG49">
            <v>2516311.9999999991</v>
          </cell>
          <cell r="AH49">
            <v>199425.00000000093</v>
          </cell>
          <cell r="AI49">
            <v>7.9252890738509774E-2</v>
          </cell>
          <cell r="AK49">
            <v>4264.9355932203371</v>
          </cell>
          <cell r="AL49">
            <v>4345.1791999999996</v>
          </cell>
        </row>
        <row r="50">
          <cell r="A50">
            <v>3732279</v>
          </cell>
          <cell r="B50">
            <v>0</v>
          </cell>
          <cell r="C50">
            <v>0</v>
          </cell>
          <cell r="D50">
            <v>2279</v>
          </cell>
          <cell r="E50" t="str">
            <v>Halfway Junior School</v>
          </cell>
          <cell r="F50">
            <v>211</v>
          </cell>
          <cell r="G50">
            <v>720115.27022972424</v>
          </cell>
          <cell r="H50">
            <v>16724.039877026134</v>
          </cell>
          <cell r="I50">
            <v>23829.559460361103</v>
          </cell>
          <cell r="J50">
            <v>19027.784782949751</v>
          </cell>
          <cell r="K50">
            <v>50237.759197324413</v>
          </cell>
          <cell r="L50">
            <v>565.00000000000045</v>
          </cell>
          <cell r="M50">
            <v>830499.4135473856</v>
          </cell>
          <cell r="N50">
            <v>121300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7603.1233713086804</v>
          </cell>
          <cell r="U50">
            <v>7603.1233713086804</v>
          </cell>
          <cell r="V50">
            <v>0</v>
          </cell>
          <cell r="W50">
            <v>0</v>
          </cell>
          <cell r="X50">
            <v>0</v>
          </cell>
          <cell r="Y50">
            <v>14970</v>
          </cell>
          <cell r="Z50">
            <v>974372.53691869427</v>
          </cell>
          <cell r="AA50">
            <v>0</v>
          </cell>
          <cell r="AC50">
            <v>-16</v>
          </cell>
          <cell r="AD50">
            <v>806852.76538003399</v>
          </cell>
          <cell r="AE50">
            <v>167519.77153866028</v>
          </cell>
          <cell r="AF50">
            <v>0</v>
          </cell>
          <cell r="AG50">
            <v>957939.15384177433</v>
          </cell>
          <cell r="AH50">
            <v>16433.383076919941</v>
          </cell>
          <cell r="AI50">
            <v>1.7154934121874604E-2</v>
          </cell>
          <cell r="AK50">
            <v>4539.9959897714425</v>
          </cell>
          <cell r="AL50">
            <v>4617.8793218895462</v>
          </cell>
        </row>
        <row r="51">
          <cell r="A51">
            <v>3732252</v>
          </cell>
          <cell r="B51">
            <v>0</v>
          </cell>
          <cell r="C51">
            <v>0</v>
          </cell>
          <cell r="D51">
            <v>2252</v>
          </cell>
          <cell r="E51" t="str">
            <v>Halfway Nursery Infant School</v>
          </cell>
          <cell r="F51">
            <v>156</v>
          </cell>
          <cell r="G51">
            <v>532407.49836889561</v>
          </cell>
          <cell r="H51">
            <v>17451.172045592484</v>
          </cell>
          <cell r="I51">
            <v>22876.377081946655</v>
          </cell>
          <cell r="J51">
            <v>14696.356381837646</v>
          </cell>
          <cell r="K51">
            <v>51294.467941126706</v>
          </cell>
          <cell r="L51">
            <v>1817.3195876288635</v>
          </cell>
          <cell r="M51">
            <v>640543.19140702789</v>
          </cell>
          <cell r="N51">
            <v>121300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12475</v>
          </cell>
          <cell r="Z51">
            <v>774318.19140702789</v>
          </cell>
          <cell r="AA51">
            <v>0</v>
          </cell>
          <cell r="AC51">
            <v>1</v>
          </cell>
          <cell r="AD51">
            <v>662304.27477173705</v>
          </cell>
          <cell r="AE51">
            <v>112013.91663529084</v>
          </cell>
          <cell r="AF51">
            <v>9</v>
          </cell>
          <cell r="AG51">
            <v>704389.87984060519</v>
          </cell>
          <cell r="AH51">
            <v>69928.311566422693</v>
          </cell>
          <cell r="AI51">
            <v>9.9275008866178793E-2</v>
          </cell>
          <cell r="AK51">
            <v>4791.7678900721439</v>
          </cell>
          <cell r="AL51">
            <v>4963.5781500450503</v>
          </cell>
        </row>
        <row r="52">
          <cell r="A52">
            <v>3732357</v>
          </cell>
          <cell r="B52" t="str">
            <v>Recoupment Academy</v>
          </cell>
          <cell r="C52">
            <v>0</v>
          </cell>
          <cell r="D52">
            <v>2357</v>
          </cell>
          <cell r="E52" t="str">
            <v>Hallam Primary School</v>
          </cell>
          <cell r="F52">
            <v>624</v>
          </cell>
          <cell r="G52">
            <v>2129629.9934755825</v>
          </cell>
          <cell r="H52">
            <v>16724.039877026113</v>
          </cell>
          <cell r="I52">
            <v>21923.19470353219</v>
          </cell>
          <cell r="J52">
            <v>11133.244965565213</v>
          </cell>
          <cell r="K52">
            <v>132039.84555984553</v>
          </cell>
          <cell r="L52">
            <v>26408.988764044945</v>
          </cell>
          <cell r="M52">
            <v>2337859.3073455971</v>
          </cell>
          <cell r="N52">
            <v>121300</v>
          </cell>
          <cell r="O52">
            <v>0</v>
          </cell>
          <cell r="P52">
            <v>202200.69265440351</v>
          </cell>
          <cell r="Q52">
            <v>202200.69265440351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8192</v>
          </cell>
          <cell r="Z52">
            <v>2669552.0000000014</v>
          </cell>
          <cell r="AA52">
            <v>0</v>
          </cell>
          <cell r="AC52">
            <v>2</v>
          </cell>
          <cell r="AD52">
            <v>2347500</v>
          </cell>
          <cell r="AE52">
            <v>322052.0000000014</v>
          </cell>
          <cell r="AF52">
            <v>-13</v>
          </cell>
          <cell r="AG52">
            <v>2668844.0000000005</v>
          </cell>
          <cell r="AH52">
            <v>708.00000000093132</v>
          </cell>
          <cell r="AI52">
            <v>2.6528339610742746E-4</v>
          </cell>
          <cell r="AK52">
            <v>4189.7080062794357</v>
          </cell>
          <cell r="AL52">
            <v>4278.1282051282078</v>
          </cell>
        </row>
        <row r="53">
          <cell r="A53">
            <v>3732050</v>
          </cell>
          <cell r="B53" t="str">
            <v>Recoupment Academy</v>
          </cell>
          <cell r="C53">
            <v>0</v>
          </cell>
          <cell r="D53">
            <v>2050</v>
          </cell>
          <cell r="E53" t="str">
            <v>Hartley Brook Primary School</v>
          </cell>
          <cell r="F53">
            <v>594</v>
          </cell>
          <cell r="G53">
            <v>2027243.9360969488</v>
          </cell>
          <cell r="H53">
            <v>118158.97739203232</v>
          </cell>
          <cell r="I53">
            <v>163947.3690872842</v>
          </cell>
          <cell r="J53">
            <v>233242.23618934272</v>
          </cell>
          <cell r="K53">
            <v>270768.15286624205</v>
          </cell>
          <cell r="L53">
            <v>23234.538461538454</v>
          </cell>
          <cell r="M53">
            <v>2836595.2100933888</v>
          </cell>
          <cell r="N53">
            <v>121300</v>
          </cell>
          <cell r="O53">
            <v>2183.0000000000168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7168</v>
          </cell>
          <cell r="Z53">
            <v>2967246.2100933888</v>
          </cell>
          <cell r="AA53">
            <v>0</v>
          </cell>
          <cell r="AC53">
            <v>14</v>
          </cell>
          <cell r="AD53">
            <v>2711508.6583084399</v>
          </cell>
          <cell r="AE53">
            <v>255737.55178494891</v>
          </cell>
          <cell r="AF53">
            <v>-15</v>
          </cell>
          <cell r="AG53">
            <v>2916115.0709907426</v>
          </cell>
          <cell r="AH53">
            <v>51131.13910264615</v>
          </cell>
          <cell r="AI53">
            <v>1.7533992266386963E-2</v>
          </cell>
          <cell r="AK53">
            <v>4788.366290625193</v>
          </cell>
          <cell r="AL53">
            <v>4995.3639900562102</v>
          </cell>
        </row>
        <row r="54">
          <cell r="A54">
            <v>3732049</v>
          </cell>
          <cell r="B54" t="str">
            <v>Recoupment Academy</v>
          </cell>
          <cell r="C54">
            <v>0</v>
          </cell>
          <cell r="D54">
            <v>2049</v>
          </cell>
          <cell r="E54" t="str">
            <v>Hatfield Academy</v>
          </cell>
          <cell r="F54">
            <v>371</v>
          </cell>
          <cell r="G54">
            <v>1266174.2429157712</v>
          </cell>
          <cell r="H54">
            <v>75258.179446617476</v>
          </cell>
          <cell r="I54">
            <v>102943.69686875986</v>
          </cell>
          <cell r="J54">
            <v>135858.31885281103</v>
          </cell>
          <cell r="K54">
            <v>154063.32155477031</v>
          </cell>
          <cell r="L54">
            <v>44329.456193353399</v>
          </cell>
          <cell r="M54">
            <v>1778627.215832083</v>
          </cell>
          <cell r="N54">
            <v>121300</v>
          </cell>
          <cell r="O54">
            <v>24734.499999999935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5120</v>
          </cell>
          <cell r="Z54">
            <v>1929781.715832083</v>
          </cell>
          <cell r="AA54">
            <v>0</v>
          </cell>
          <cell r="AC54">
            <v>-3</v>
          </cell>
          <cell r="AD54">
            <v>1696210.6771376401</v>
          </cell>
          <cell r="AE54">
            <v>233571.03869444295</v>
          </cell>
          <cell r="AF54">
            <v>-9</v>
          </cell>
          <cell r="AG54">
            <v>1888149.2450747127</v>
          </cell>
          <cell r="AH54">
            <v>41632.470757370349</v>
          </cell>
          <cell r="AI54">
            <v>2.2049353813513285E-2</v>
          </cell>
          <cell r="AK54">
            <v>4968.813802828191</v>
          </cell>
          <cell r="AL54">
            <v>5201.5679672023798</v>
          </cell>
        </row>
        <row r="55">
          <cell r="A55">
            <v>3732297</v>
          </cell>
          <cell r="B55">
            <v>0</v>
          </cell>
          <cell r="C55">
            <v>0</v>
          </cell>
          <cell r="D55">
            <v>2297</v>
          </cell>
          <cell r="E55" t="str">
            <v>High Green Primary School</v>
          </cell>
          <cell r="F55">
            <v>199</v>
          </cell>
          <cell r="G55">
            <v>679160.84727827075</v>
          </cell>
          <cell r="H55">
            <v>9816.2842756457649</v>
          </cell>
          <cell r="I55">
            <v>13344.553297802233</v>
          </cell>
          <cell r="J55">
            <v>17722.556171644363</v>
          </cell>
          <cell r="K55">
            <v>82846.842105263146</v>
          </cell>
          <cell r="L55">
            <v>0</v>
          </cell>
          <cell r="M55">
            <v>802891.08312862623</v>
          </cell>
          <cell r="N55">
            <v>121300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10853</v>
          </cell>
          <cell r="Z55">
            <v>935044.08312862623</v>
          </cell>
          <cell r="AA55">
            <v>0</v>
          </cell>
          <cell r="AC55">
            <v>14</v>
          </cell>
          <cell r="AD55">
            <v>838086.04349263501</v>
          </cell>
          <cell r="AE55">
            <v>96958.039635991212</v>
          </cell>
          <cell r="AF55">
            <v>-11</v>
          </cell>
          <cell r="AG55">
            <v>962140.34557249572</v>
          </cell>
          <cell r="AH55">
            <v>-27096.262443869491</v>
          </cell>
          <cell r="AI55">
            <v>-2.816248436993523E-2</v>
          </cell>
          <cell r="AK55">
            <v>4581.6206932023606</v>
          </cell>
          <cell r="AL55">
            <v>4698.7139855709856</v>
          </cell>
        </row>
        <row r="56">
          <cell r="A56">
            <v>3732042</v>
          </cell>
          <cell r="B56" t="str">
            <v>Recoupment Academy</v>
          </cell>
          <cell r="C56">
            <v>0</v>
          </cell>
          <cell r="D56">
            <v>2042</v>
          </cell>
          <cell r="E56" t="str">
            <v>High Hazels Junior School</v>
          </cell>
          <cell r="F56">
            <v>351</v>
          </cell>
          <cell r="G56">
            <v>1197916.8713300154</v>
          </cell>
          <cell r="H56">
            <v>53807.780473910156</v>
          </cell>
          <cell r="I56">
            <v>73395.043137912158</v>
          </cell>
          <cell r="J56">
            <v>114645.8592524893</v>
          </cell>
          <cell r="K56">
            <v>114041.6067653277</v>
          </cell>
          <cell r="L56">
            <v>47459.999999999935</v>
          </cell>
          <cell r="M56">
            <v>1601267.160959655</v>
          </cell>
          <cell r="N56">
            <v>121300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5174</v>
          </cell>
          <cell r="Z56">
            <v>1727741.160959655</v>
          </cell>
          <cell r="AA56">
            <v>0</v>
          </cell>
          <cell r="AC56">
            <v>10</v>
          </cell>
          <cell r="AD56">
            <v>1608760.4593068799</v>
          </cell>
          <cell r="AE56">
            <v>118980.70165277505</v>
          </cell>
          <cell r="AF56">
            <v>-1</v>
          </cell>
          <cell r="AG56">
            <v>1671495.8750580659</v>
          </cell>
          <cell r="AH56">
            <v>56245.285901589086</v>
          </cell>
          <cell r="AI56">
            <v>3.364967077746165E-2</v>
          </cell>
          <cell r="AK56">
            <v>4748.5678268695056</v>
          </cell>
          <cell r="AL56">
            <v>4922.3394899135465</v>
          </cell>
        </row>
        <row r="57">
          <cell r="A57">
            <v>3732039</v>
          </cell>
          <cell r="B57" t="str">
            <v>Recoupment Academy</v>
          </cell>
          <cell r="C57">
            <v>0</v>
          </cell>
          <cell r="D57">
            <v>2039</v>
          </cell>
          <cell r="E57" t="str">
            <v>High Hazels Nursery Infant Academy</v>
          </cell>
          <cell r="F57">
            <v>229</v>
          </cell>
          <cell r="G57">
            <v>781546.90465690452</v>
          </cell>
          <cell r="H57">
            <v>31993.815416919548</v>
          </cell>
          <cell r="I57">
            <v>41940.024650235529</v>
          </cell>
          <cell r="J57">
            <v>74447.711330279184</v>
          </cell>
          <cell r="K57">
            <v>75297.648452038571</v>
          </cell>
          <cell r="L57">
            <v>101003.77419354844</v>
          </cell>
          <cell r="M57">
            <v>1106229.8786999257</v>
          </cell>
          <cell r="N57">
            <v>121300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3478</v>
          </cell>
          <cell r="Z57">
            <v>1231007.8786999257</v>
          </cell>
          <cell r="AA57">
            <v>0</v>
          </cell>
          <cell r="AC57">
            <v>31</v>
          </cell>
          <cell r="AD57">
            <v>1207311.10247557</v>
          </cell>
          <cell r="AE57">
            <v>23696.776224355679</v>
          </cell>
          <cell r="AF57">
            <v>-4</v>
          </cell>
          <cell r="AG57">
            <v>1211645.3816353898</v>
          </cell>
          <cell r="AH57">
            <v>19362.497064535972</v>
          </cell>
          <cell r="AI57">
            <v>1.5980333320300282E-2</v>
          </cell>
          <cell r="AK57">
            <v>5200.1947709673377</v>
          </cell>
          <cell r="AL57">
            <v>5375.5802563315538</v>
          </cell>
        </row>
        <row r="58">
          <cell r="A58">
            <v>3732339</v>
          </cell>
          <cell r="B58" t="str">
            <v>Recoupment Academy</v>
          </cell>
          <cell r="C58">
            <v>0</v>
          </cell>
          <cell r="D58">
            <v>2339</v>
          </cell>
          <cell r="E58" t="str">
            <v>Hillsborough Primary School</v>
          </cell>
          <cell r="F58">
            <v>347</v>
          </cell>
          <cell r="G58">
            <v>1184265.397012864</v>
          </cell>
          <cell r="H58">
            <v>51626.383968211048</v>
          </cell>
          <cell r="I58">
            <v>72441.860759497737</v>
          </cell>
          <cell r="J58">
            <v>84543.604731403771</v>
          </cell>
          <cell r="K58">
            <v>153018.53658536586</v>
          </cell>
          <cell r="L58">
            <v>27341.003401360511</v>
          </cell>
          <cell r="M58">
            <v>1573236.7864587028</v>
          </cell>
          <cell r="N58">
            <v>121300</v>
          </cell>
          <cell r="O58">
            <v>4791.4999999999945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4992</v>
          </cell>
          <cell r="Z58">
            <v>1704320.2864587028</v>
          </cell>
          <cell r="AA58">
            <v>0</v>
          </cell>
          <cell r="AC58">
            <v>6</v>
          </cell>
          <cell r="AD58">
            <v>1583190.98758264</v>
          </cell>
          <cell r="AE58">
            <v>121129.29887606273</v>
          </cell>
          <cell r="AF58">
            <v>7</v>
          </cell>
          <cell r="AG58">
            <v>1620949.5242904651</v>
          </cell>
          <cell r="AH58">
            <v>83370.762168237707</v>
          </cell>
          <cell r="AI58">
            <v>5.1433287044969161E-2</v>
          </cell>
          <cell r="AK58">
            <v>4767.4986008543092</v>
          </cell>
          <cell r="AL58">
            <v>4911.5858399386243</v>
          </cell>
        </row>
        <row r="59">
          <cell r="A59">
            <v>3732213</v>
          </cell>
          <cell r="B59">
            <v>0</v>
          </cell>
          <cell r="C59">
            <v>0</v>
          </cell>
          <cell r="D59">
            <v>2213</v>
          </cell>
          <cell r="E59" t="str">
            <v>Holt House Infant School</v>
          </cell>
          <cell r="F59">
            <v>179</v>
          </cell>
          <cell r="G59">
            <v>610903.47569251491</v>
          </cell>
          <cell r="H59">
            <v>7998.4538542298887</v>
          </cell>
          <cell r="I59">
            <v>10485.006162558884</v>
          </cell>
          <cell r="J59">
            <v>4594.0912922222578</v>
          </cell>
          <cell r="K59">
            <v>58857.113855523596</v>
          </cell>
          <cell r="L59">
            <v>10198.487394958005</v>
          </cell>
          <cell r="M59">
            <v>703036.62825200765</v>
          </cell>
          <cell r="N59">
            <v>121300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13099</v>
          </cell>
          <cell r="Z59">
            <v>837435.62825200765</v>
          </cell>
          <cell r="AA59">
            <v>0</v>
          </cell>
          <cell r="AC59">
            <v>-10</v>
          </cell>
          <cell r="AD59">
            <v>687944.62291572802</v>
          </cell>
          <cell r="AE59">
            <v>149491.00533627963</v>
          </cell>
          <cell r="AF59">
            <v>13</v>
          </cell>
          <cell r="AG59">
            <v>758538.16976307495</v>
          </cell>
          <cell r="AH59">
            <v>78897.458488932694</v>
          </cell>
          <cell r="AI59">
            <v>0.10401250936861339</v>
          </cell>
          <cell r="AK59">
            <v>4569.5070467655114</v>
          </cell>
          <cell r="AL59">
            <v>4678.4113310168023</v>
          </cell>
        </row>
        <row r="60">
          <cell r="A60">
            <v>3732337</v>
          </cell>
          <cell r="B60" t="str">
            <v>Recoupment Academy</v>
          </cell>
          <cell r="C60">
            <v>0</v>
          </cell>
          <cell r="D60">
            <v>2337</v>
          </cell>
          <cell r="E60" t="str">
            <v>Hucklow Primary School</v>
          </cell>
          <cell r="F60">
            <v>413</v>
          </cell>
          <cell r="G60">
            <v>1409514.7232458584</v>
          </cell>
          <cell r="H60">
            <v>68713.98992952038</v>
          </cell>
          <cell r="I60">
            <v>93411.873084615494</v>
          </cell>
          <cell r="J60">
            <v>140532.83582732151</v>
          </cell>
          <cell r="K60">
            <v>218054.58689458692</v>
          </cell>
          <cell r="L60">
            <v>94511.243016759821</v>
          </cell>
          <cell r="M60">
            <v>2024739.2519986625</v>
          </cell>
          <cell r="N60">
            <v>121300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4736</v>
          </cell>
          <cell r="Z60">
            <v>2150775.2519986625</v>
          </cell>
          <cell r="AA60">
            <v>0</v>
          </cell>
          <cell r="AC60">
            <v>5</v>
          </cell>
          <cell r="AD60">
            <v>1939476.0802066501</v>
          </cell>
          <cell r="AE60">
            <v>211299.17179201241</v>
          </cell>
          <cell r="AF60">
            <v>-8</v>
          </cell>
          <cell r="AG60">
            <v>2110079.4960907679</v>
          </cell>
          <cell r="AH60">
            <v>40695.755907894578</v>
          </cell>
          <cell r="AI60">
            <v>1.9286361477512785E-2</v>
          </cell>
          <cell r="AK60">
            <v>5012.0653113794961</v>
          </cell>
          <cell r="AL60">
            <v>5207.6882614979722</v>
          </cell>
        </row>
        <row r="61">
          <cell r="A61">
            <v>3732060</v>
          </cell>
          <cell r="B61">
            <v>0</v>
          </cell>
          <cell r="C61">
            <v>0</v>
          </cell>
          <cell r="D61">
            <v>2060</v>
          </cell>
          <cell r="E61" t="str">
            <v>Hunter's Bar Infant School</v>
          </cell>
          <cell r="F61">
            <v>267</v>
          </cell>
          <cell r="G61">
            <v>911235.91066984064</v>
          </cell>
          <cell r="H61">
            <v>8725.5860227962348</v>
          </cell>
          <cell r="I61">
            <v>11438.188540973319</v>
          </cell>
          <cell r="J61">
            <v>9600.0145348244823</v>
          </cell>
          <cell r="K61">
            <v>87792.454745389929</v>
          </cell>
          <cell r="L61">
            <v>38985.000000000029</v>
          </cell>
          <cell r="M61">
            <v>1067777.1545138247</v>
          </cell>
          <cell r="N61">
            <v>121300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10688.434375547173</v>
          </cell>
          <cell r="U61">
            <v>10688.434375547173</v>
          </cell>
          <cell r="V61">
            <v>0</v>
          </cell>
          <cell r="W61">
            <v>0</v>
          </cell>
          <cell r="X61">
            <v>0</v>
          </cell>
          <cell r="Y61">
            <v>13608</v>
          </cell>
          <cell r="Z61">
            <v>1213373.5888893723</v>
          </cell>
          <cell r="AA61">
            <v>0</v>
          </cell>
          <cell r="AC61">
            <v>3</v>
          </cell>
          <cell r="AD61">
            <v>1064410.55849162</v>
          </cell>
          <cell r="AE61">
            <v>148963.0303977523</v>
          </cell>
          <cell r="AF61">
            <v>3</v>
          </cell>
          <cell r="AG61">
            <v>1180086.5417283662</v>
          </cell>
          <cell r="AH61">
            <v>33287.047161006136</v>
          </cell>
          <cell r="AI61">
            <v>2.8207293265334256E-2</v>
          </cell>
          <cell r="AK61">
            <v>4470.0247792741138</v>
          </cell>
          <cell r="AL61">
            <v>4544.4703703721807</v>
          </cell>
        </row>
        <row r="62">
          <cell r="A62">
            <v>3732058</v>
          </cell>
          <cell r="B62">
            <v>0</v>
          </cell>
          <cell r="C62">
            <v>0</v>
          </cell>
          <cell r="D62">
            <v>2058</v>
          </cell>
          <cell r="E62" t="str">
            <v>Hunter's Bar Junior School</v>
          </cell>
          <cell r="F62">
            <v>362</v>
          </cell>
          <cell r="G62">
            <v>1235458.4257021809</v>
          </cell>
          <cell r="H62">
            <v>18541.870298441936</v>
          </cell>
          <cell r="I62">
            <v>24782.741838775524</v>
          </cell>
          <cell r="J62">
            <v>21690.403077235329</v>
          </cell>
          <cell r="K62">
            <v>105563.87096774194</v>
          </cell>
          <cell r="L62">
            <v>15819.999999999989</v>
          </cell>
          <cell r="M62">
            <v>1421857.3118843758</v>
          </cell>
          <cell r="N62">
            <v>121300</v>
          </cell>
          <cell r="O62">
            <v>0</v>
          </cell>
          <cell r="P62">
            <v>772.6881156241343</v>
          </cell>
          <cell r="Q62">
            <v>772.6881156241343</v>
          </cell>
          <cell r="R62">
            <v>0</v>
          </cell>
          <cell r="S62">
            <v>0</v>
          </cell>
          <cell r="T62">
            <v>2720.2367642462123</v>
          </cell>
          <cell r="U62">
            <v>2720.2367642462123</v>
          </cell>
          <cell r="V62">
            <v>0</v>
          </cell>
          <cell r="W62">
            <v>0</v>
          </cell>
          <cell r="X62">
            <v>0</v>
          </cell>
          <cell r="Y62">
            <v>20583</v>
          </cell>
          <cell r="Z62">
            <v>1567233.2367642461</v>
          </cell>
          <cell r="AA62">
            <v>0</v>
          </cell>
          <cell r="AC62">
            <v>-8</v>
          </cell>
          <cell r="AD62">
            <v>1356823.34058514</v>
          </cell>
          <cell r="AE62">
            <v>210409.89617910609</v>
          </cell>
          <cell r="AF62">
            <v>2</v>
          </cell>
          <cell r="AG62">
            <v>1531170.41080167</v>
          </cell>
          <cell r="AH62">
            <v>36062.825962576084</v>
          </cell>
          <cell r="AI62">
            <v>2.3552457458797669E-2</v>
          </cell>
          <cell r="AK62">
            <v>4253.2511411157502</v>
          </cell>
          <cell r="AL62">
            <v>4329.373582221674</v>
          </cell>
        </row>
        <row r="63">
          <cell r="A63">
            <v>3732063</v>
          </cell>
          <cell r="B63">
            <v>0</v>
          </cell>
          <cell r="C63">
            <v>0</v>
          </cell>
          <cell r="D63">
            <v>2063</v>
          </cell>
          <cell r="E63" t="str">
            <v>Intake Primary School</v>
          </cell>
          <cell r="F63">
            <v>409</v>
          </cell>
          <cell r="G63">
            <v>1395863.2489287073</v>
          </cell>
          <cell r="H63">
            <v>38901.57101829983</v>
          </cell>
          <cell r="I63">
            <v>53854.804380416019</v>
          </cell>
          <cell r="J63">
            <v>62985.256557683504</v>
          </cell>
          <cell r="K63">
            <v>94565.043227665708</v>
          </cell>
          <cell r="L63">
            <v>3301.214285714289</v>
          </cell>
          <cell r="M63">
            <v>1649471.1383984864</v>
          </cell>
          <cell r="N63">
            <v>121300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4833.6437572226341</v>
          </cell>
          <cell r="U63">
            <v>4833.6437572226341</v>
          </cell>
          <cell r="V63">
            <v>0</v>
          </cell>
          <cell r="W63">
            <v>0</v>
          </cell>
          <cell r="X63">
            <v>0</v>
          </cell>
          <cell r="Y63">
            <v>28188</v>
          </cell>
          <cell r="Z63">
            <v>1803792.7821557091</v>
          </cell>
          <cell r="AA63">
            <v>0</v>
          </cell>
          <cell r="AC63">
            <v>0</v>
          </cell>
          <cell r="AD63">
            <v>1589380.64188736</v>
          </cell>
          <cell r="AE63">
            <v>214412.14026834909</v>
          </cell>
          <cell r="AF63">
            <v>0</v>
          </cell>
          <cell r="AG63">
            <v>1770815.4334858018</v>
          </cell>
          <cell r="AH63">
            <v>32977.348669907311</v>
          </cell>
          <cell r="AI63">
            <v>1.8622691019239822E-2</v>
          </cell>
          <cell r="AK63">
            <v>4329.6220867623515</v>
          </cell>
          <cell r="AL63">
            <v>4410.2513011142028</v>
          </cell>
        </row>
        <row r="64">
          <cell r="A64">
            <v>3732261</v>
          </cell>
          <cell r="B64">
            <v>0</v>
          </cell>
          <cell r="C64">
            <v>0</v>
          </cell>
          <cell r="D64">
            <v>2261</v>
          </cell>
          <cell r="E64" t="str">
            <v>Limpsfield Junior School</v>
          </cell>
          <cell r="F64">
            <v>235</v>
          </cell>
          <cell r="G64">
            <v>802024.11613263132</v>
          </cell>
          <cell r="H64">
            <v>26903.890236955092</v>
          </cell>
          <cell r="I64">
            <v>38603.886325784973</v>
          </cell>
          <cell r="J64">
            <v>56304.562136580033</v>
          </cell>
          <cell r="K64">
            <v>90126.060606060608</v>
          </cell>
          <cell r="L64">
            <v>16385.000000000007</v>
          </cell>
          <cell r="M64">
            <v>1030347.5154380121</v>
          </cell>
          <cell r="N64">
            <v>121300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17590</v>
          </cell>
          <cell r="Z64">
            <v>1169237.5154380121</v>
          </cell>
          <cell r="AA64">
            <v>0</v>
          </cell>
          <cell r="AC64">
            <v>-1</v>
          </cell>
          <cell r="AD64">
            <v>1055407.5677068599</v>
          </cell>
          <cell r="AE64">
            <v>113829.94773115218</v>
          </cell>
          <cell r="AF64">
            <v>9</v>
          </cell>
          <cell r="AG64">
            <v>1106410.0117467828</v>
          </cell>
          <cell r="AH64">
            <v>62827.503691229271</v>
          </cell>
          <cell r="AI64">
            <v>5.6785010099500266E-2</v>
          </cell>
          <cell r="AK64">
            <v>4895.6195210034639</v>
          </cell>
          <cell r="AL64">
            <v>4975.4787890979242</v>
          </cell>
        </row>
        <row r="65">
          <cell r="A65">
            <v>3732315</v>
          </cell>
          <cell r="B65" t="str">
            <v>Recoupment Academy</v>
          </cell>
          <cell r="C65">
            <v>0</v>
          </cell>
          <cell r="D65">
            <v>2315</v>
          </cell>
          <cell r="E65" t="str">
            <v>Lound Infant School</v>
          </cell>
          <cell r="F65">
            <v>145</v>
          </cell>
          <cell r="G65">
            <v>494865.94399672997</v>
          </cell>
          <cell r="H65">
            <v>5817.0573485308287</v>
          </cell>
          <cell r="I65">
            <v>7625.4590273155518</v>
          </cell>
          <cell r="J65">
            <v>6280.8837043554977</v>
          </cell>
          <cell r="K65">
            <v>47677.550329893413</v>
          </cell>
          <cell r="L65">
            <v>0</v>
          </cell>
          <cell r="M65">
            <v>562266.8944068253</v>
          </cell>
          <cell r="N65">
            <v>121300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1068.9481577069564</v>
          </cell>
          <cell r="U65">
            <v>1068.9481577069564</v>
          </cell>
          <cell r="V65">
            <v>0</v>
          </cell>
          <cell r="W65">
            <v>0</v>
          </cell>
          <cell r="X65">
            <v>0</v>
          </cell>
          <cell r="Y65">
            <v>3021</v>
          </cell>
          <cell r="Z65">
            <v>687656.8425645323</v>
          </cell>
          <cell r="AA65">
            <v>0</v>
          </cell>
          <cell r="AC65">
            <v>7</v>
          </cell>
          <cell r="AD65">
            <v>617026.32725236705</v>
          </cell>
          <cell r="AE65">
            <v>70630.515312165255</v>
          </cell>
          <cell r="AF65">
            <v>-4</v>
          </cell>
          <cell r="AG65">
            <v>691846.42908797297</v>
          </cell>
          <cell r="AH65">
            <v>-4189.5865234406665</v>
          </cell>
          <cell r="AI65">
            <v>-6.0556596771968478E-3</v>
          </cell>
          <cell r="AK65">
            <v>4643.2646247514967</v>
          </cell>
          <cell r="AL65">
            <v>4742.4609832036713</v>
          </cell>
        </row>
        <row r="66">
          <cell r="A66">
            <v>3732298</v>
          </cell>
          <cell r="B66" t="str">
            <v>Recoupment Academy</v>
          </cell>
          <cell r="C66">
            <v>0</v>
          </cell>
          <cell r="D66">
            <v>2298</v>
          </cell>
          <cell r="E66" t="str">
            <v>Lound Junior School</v>
          </cell>
          <cell r="F66">
            <v>209</v>
          </cell>
          <cell r="G66">
            <v>713289.53307114867</v>
          </cell>
          <cell r="H66">
            <v>8362.0199385130472</v>
          </cell>
          <cell r="I66">
            <v>11438.188540973271</v>
          </cell>
          <cell r="J66">
            <v>8960.687842886482</v>
          </cell>
          <cell r="K66">
            <v>53428.62295081967</v>
          </cell>
          <cell r="L66">
            <v>0</v>
          </cell>
          <cell r="M66">
            <v>795479.05234434106</v>
          </cell>
          <cell r="N66">
            <v>121300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8132.6677814855429</v>
          </cell>
          <cell r="U66">
            <v>8132.6677814855429</v>
          </cell>
          <cell r="V66">
            <v>0</v>
          </cell>
          <cell r="W66">
            <v>0</v>
          </cell>
          <cell r="X66">
            <v>0</v>
          </cell>
          <cell r="Y66">
            <v>3174</v>
          </cell>
          <cell r="Z66">
            <v>928085.72012582642</v>
          </cell>
          <cell r="AA66">
            <v>0</v>
          </cell>
          <cell r="AC66">
            <v>23</v>
          </cell>
          <cell r="AD66">
            <v>876966.06243032299</v>
          </cell>
          <cell r="AE66">
            <v>51119.65769550344</v>
          </cell>
          <cell r="AF66">
            <v>-2</v>
          </cell>
          <cell r="AG66">
            <v>919868.30630706856</v>
          </cell>
          <cell r="AH66">
            <v>8217.4138187578646</v>
          </cell>
          <cell r="AI66">
            <v>8.9332502950859836E-3</v>
          </cell>
          <cell r="AK66">
            <v>4359.5654327349221</v>
          </cell>
          <cell r="AL66">
            <v>4440.6015317025185</v>
          </cell>
        </row>
        <row r="67">
          <cell r="A67">
            <v>3732029</v>
          </cell>
          <cell r="B67" t="str">
            <v>Recoupment Academy</v>
          </cell>
          <cell r="C67">
            <v>0</v>
          </cell>
          <cell r="D67">
            <v>2029</v>
          </cell>
          <cell r="E67" t="str">
            <v>Lowedges Junior Academy</v>
          </cell>
          <cell r="F67">
            <v>302</v>
          </cell>
          <cell r="G67">
            <v>1030686.3109449134</v>
          </cell>
          <cell r="H67">
            <v>73803.915109484806</v>
          </cell>
          <cell r="I67">
            <v>99607.558544309257</v>
          </cell>
          <cell r="J67">
            <v>96621.124504080784</v>
          </cell>
          <cell r="K67">
            <v>106737.70925110132</v>
          </cell>
          <cell r="L67">
            <v>20920.153256704925</v>
          </cell>
          <cell r="M67">
            <v>1428376.7716105948</v>
          </cell>
          <cell r="N67">
            <v>121300</v>
          </cell>
          <cell r="O67">
            <v>3589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4685</v>
          </cell>
          <cell r="Z67">
            <v>1557950.7716105948</v>
          </cell>
          <cell r="AA67">
            <v>0</v>
          </cell>
          <cell r="AC67">
            <v>0</v>
          </cell>
          <cell r="AD67">
            <v>1376320.6605706899</v>
          </cell>
          <cell r="AE67">
            <v>181630.11103990488</v>
          </cell>
          <cell r="AF67">
            <v>-12</v>
          </cell>
          <cell r="AG67">
            <v>1540020.7214503656</v>
          </cell>
          <cell r="AH67">
            <v>17930.050160229206</v>
          </cell>
          <cell r="AI67">
            <v>1.1642733055788357E-2</v>
          </cell>
          <cell r="AK67">
            <v>4904.5245906062601</v>
          </cell>
          <cell r="AL67">
            <v>5158.7773894390557</v>
          </cell>
        </row>
        <row r="68">
          <cell r="A68">
            <v>3732045</v>
          </cell>
          <cell r="B68" t="str">
            <v>Recoupment Academy</v>
          </cell>
          <cell r="C68">
            <v>0</v>
          </cell>
          <cell r="D68">
            <v>2045</v>
          </cell>
          <cell r="E68" t="str">
            <v>Lower Meadow Primary School</v>
          </cell>
          <cell r="F68">
            <v>249</v>
          </cell>
          <cell r="G68">
            <v>849804.27624266036</v>
          </cell>
          <cell r="H68">
            <v>62533.366496706316</v>
          </cell>
          <cell r="I68">
            <v>83403.458111263812</v>
          </cell>
          <cell r="J68">
            <v>84010.482488122041</v>
          </cell>
          <cell r="K68">
            <v>98118.76923076922</v>
          </cell>
          <cell r="L68">
            <v>16590.212264150974</v>
          </cell>
          <cell r="M68">
            <v>1194460.5648336727</v>
          </cell>
          <cell r="N68">
            <v>121300</v>
          </cell>
          <cell r="O68">
            <v>9398.7459677418847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5325</v>
          </cell>
          <cell r="Z68">
            <v>1330484.3108014148</v>
          </cell>
          <cell r="AA68">
            <v>0</v>
          </cell>
          <cell r="AC68">
            <v>12</v>
          </cell>
          <cell r="AD68">
            <v>1280799.51259684</v>
          </cell>
          <cell r="AE68">
            <v>49684.798204574734</v>
          </cell>
          <cell r="AF68">
            <v>3</v>
          </cell>
          <cell r="AG68">
            <v>1258407.0766601646</v>
          </cell>
          <cell r="AH68">
            <v>72077.234141250141</v>
          </cell>
          <cell r="AI68">
            <v>5.7276564537879458E-2</v>
          </cell>
          <cell r="AK68">
            <v>5115.4759213827829</v>
          </cell>
          <cell r="AL68">
            <v>5343.310485146244</v>
          </cell>
        </row>
        <row r="69">
          <cell r="A69">
            <v>3732070</v>
          </cell>
          <cell r="B69">
            <v>0</v>
          </cell>
          <cell r="C69">
            <v>0</v>
          </cell>
          <cell r="D69">
            <v>2070</v>
          </cell>
          <cell r="E69" t="str">
            <v>Lowfield Community Primary School</v>
          </cell>
          <cell r="F69">
            <v>365</v>
          </cell>
          <cell r="G69">
            <v>1245697.0314400443</v>
          </cell>
          <cell r="H69">
            <v>53080.648305343762</v>
          </cell>
          <cell r="I69">
            <v>75777.999083948162</v>
          </cell>
          <cell r="J69">
            <v>86661.707860285009</v>
          </cell>
          <cell r="K69">
            <v>123898.02371541501</v>
          </cell>
          <cell r="L69">
            <v>95770.123839009218</v>
          </cell>
          <cell r="M69">
            <v>1680885.5342440454</v>
          </cell>
          <cell r="N69">
            <v>121300</v>
          </cell>
          <cell r="O69">
            <v>11192.500000000016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24202</v>
          </cell>
          <cell r="Z69">
            <v>1837580.0342440454</v>
          </cell>
          <cell r="AA69">
            <v>0</v>
          </cell>
          <cell r="AC69">
            <v>1</v>
          </cell>
          <cell r="AD69">
            <v>1709513.8966162</v>
          </cell>
          <cell r="AE69">
            <v>128066.1376278454</v>
          </cell>
          <cell r="AF69">
            <v>-9</v>
          </cell>
          <cell r="AG69">
            <v>1838902.2156722324</v>
          </cell>
          <cell r="AH69">
            <v>-1322.1814281870611</v>
          </cell>
          <cell r="AI69">
            <v>-7.190058377866069E-4</v>
          </cell>
          <cell r="AK69">
            <v>4916.8508440434025</v>
          </cell>
          <cell r="AL69">
            <v>5034.4658472439596</v>
          </cell>
        </row>
        <row r="70">
          <cell r="A70">
            <v>3732292</v>
          </cell>
          <cell r="B70" t="str">
            <v>Recoupment Academy</v>
          </cell>
          <cell r="C70">
            <v>0</v>
          </cell>
          <cell r="D70">
            <v>2292</v>
          </cell>
          <cell r="E70" t="str">
            <v>Loxley Primary School</v>
          </cell>
          <cell r="F70">
            <v>209</v>
          </cell>
          <cell r="G70">
            <v>713289.53307114867</v>
          </cell>
          <cell r="H70">
            <v>6907.7556013803514</v>
          </cell>
          <cell r="I70">
            <v>9531.8237841444297</v>
          </cell>
          <cell r="J70">
            <v>6457.4244521160517</v>
          </cell>
          <cell r="K70">
            <v>32984.636871508381</v>
          </cell>
          <cell r="L70">
            <v>659.69273743016754</v>
          </cell>
          <cell r="M70">
            <v>769830.86651772808</v>
          </cell>
          <cell r="N70">
            <v>121300</v>
          </cell>
          <cell r="O70">
            <v>0</v>
          </cell>
          <cell r="P70">
            <v>254.13348227193728</v>
          </cell>
          <cell r="Q70">
            <v>254.13348227193728</v>
          </cell>
          <cell r="R70">
            <v>0</v>
          </cell>
          <cell r="S70">
            <v>0</v>
          </cell>
          <cell r="T70">
            <v>3455.9182906117044</v>
          </cell>
          <cell r="U70">
            <v>3455.9182906117044</v>
          </cell>
          <cell r="V70">
            <v>0</v>
          </cell>
          <cell r="W70">
            <v>0</v>
          </cell>
          <cell r="X70">
            <v>0</v>
          </cell>
          <cell r="Y70">
            <v>2893</v>
          </cell>
          <cell r="Z70">
            <v>897733.91829061171</v>
          </cell>
          <cell r="AA70">
            <v>0</v>
          </cell>
          <cell r="AC70">
            <v>3</v>
          </cell>
          <cell r="AD70">
            <v>809238</v>
          </cell>
          <cell r="AE70">
            <v>88495.918290611706</v>
          </cell>
          <cell r="AF70">
            <v>4</v>
          </cell>
          <cell r="AG70">
            <v>868051.9249159185</v>
          </cell>
          <cell r="AH70">
            <v>29681.993374693207</v>
          </cell>
          <cell r="AI70">
            <v>3.419379938310519E-2</v>
          </cell>
          <cell r="AK70">
            <v>4234.3996337361878</v>
          </cell>
          <cell r="AL70">
            <v>4295.3775994766111</v>
          </cell>
        </row>
        <row r="71">
          <cell r="A71">
            <v>3732072</v>
          </cell>
          <cell r="B71">
            <v>0</v>
          </cell>
          <cell r="C71">
            <v>0</v>
          </cell>
          <cell r="D71">
            <v>2072</v>
          </cell>
          <cell r="E71" t="str">
            <v>Lydgate Infant School</v>
          </cell>
          <cell r="F71">
            <v>356</v>
          </cell>
          <cell r="G71">
            <v>1214981.2142264543</v>
          </cell>
          <cell r="H71">
            <v>11270.548612778477</v>
          </cell>
          <cell r="I71">
            <v>15250.918054631091</v>
          </cell>
          <cell r="J71">
            <v>7382.1998794095825</v>
          </cell>
          <cell r="K71">
            <v>117056.60632718659</v>
          </cell>
          <cell r="L71">
            <v>45636.806722689071</v>
          </cell>
          <cell r="M71">
            <v>1411578.2938231491</v>
          </cell>
          <cell r="N71">
            <v>121300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21083</v>
          </cell>
          <cell r="Z71">
            <v>1553961.2938231491</v>
          </cell>
          <cell r="AA71">
            <v>0</v>
          </cell>
          <cell r="AC71">
            <v>-4</v>
          </cell>
          <cell r="AD71">
            <v>1341762.82</v>
          </cell>
          <cell r="AE71">
            <v>212198.47382314899</v>
          </cell>
          <cell r="AF71">
            <v>1</v>
          </cell>
          <cell r="AG71">
            <v>1514274.4300354251</v>
          </cell>
          <cell r="AH71">
            <v>39686.863787723938</v>
          </cell>
          <cell r="AI71">
            <v>2.6208501577085666E-2</v>
          </cell>
          <cell r="AK71">
            <v>4265.5617747476763</v>
          </cell>
          <cell r="AL71">
            <v>4365.059814109969</v>
          </cell>
        </row>
        <row r="72">
          <cell r="A72">
            <v>3732071</v>
          </cell>
          <cell r="B72">
            <v>0</v>
          </cell>
          <cell r="C72">
            <v>0</v>
          </cell>
          <cell r="D72">
            <v>2071</v>
          </cell>
          <cell r="E72" t="str">
            <v>Lydgate Junior School</v>
          </cell>
          <cell r="F72">
            <v>475</v>
          </cell>
          <cell r="G72">
            <v>1621112.5751617015</v>
          </cell>
          <cell r="H72">
            <v>18178.304214158852</v>
          </cell>
          <cell r="I72">
            <v>26212.515406397291</v>
          </cell>
          <cell r="J72">
            <v>8429.0620606661723</v>
          </cell>
          <cell r="K72">
            <v>124953.51390922403</v>
          </cell>
          <cell r="L72">
            <v>19250.527426160344</v>
          </cell>
          <cell r="M72">
            <v>1818136.4981783084</v>
          </cell>
          <cell r="N72">
            <v>121300</v>
          </cell>
          <cell r="O72">
            <v>0</v>
          </cell>
          <cell r="P72">
            <v>86438.501821691607</v>
          </cell>
          <cell r="Q72">
            <v>86438.501821691607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23079</v>
          </cell>
          <cell r="Z72">
            <v>2048954</v>
          </cell>
          <cell r="AA72">
            <v>0</v>
          </cell>
          <cell r="AC72">
            <v>6</v>
          </cell>
          <cell r="AD72">
            <v>1827060</v>
          </cell>
          <cell r="AE72">
            <v>221894</v>
          </cell>
          <cell r="AF72">
            <v>-5</v>
          </cell>
          <cell r="AG72">
            <v>2029479.0000000002</v>
          </cell>
          <cell r="AH72">
            <v>19474.999999999767</v>
          </cell>
          <cell r="AI72">
            <v>9.5960588899908616E-3</v>
          </cell>
          <cell r="AK72">
            <v>4228.0812500000002</v>
          </cell>
          <cell r="AL72">
            <v>4313.5873684210528</v>
          </cell>
        </row>
        <row r="73">
          <cell r="A73">
            <v>3732358</v>
          </cell>
          <cell r="B73" t="str">
            <v>Recoupment Academy</v>
          </cell>
          <cell r="C73">
            <v>0</v>
          </cell>
          <cell r="D73">
            <v>2358</v>
          </cell>
          <cell r="E73" t="str">
            <v>Malin Bridge Primary School</v>
          </cell>
          <cell r="F73">
            <v>522</v>
          </cell>
          <cell r="G73">
            <v>1781517.3983882279</v>
          </cell>
          <cell r="H73">
            <v>35993.042344034453</v>
          </cell>
          <cell r="I73">
            <v>48612.301299136678</v>
          </cell>
          <cell r="J73">
            <v>37549.215472169883</v>
          </cell>
          <cell r="K73">
            <v>121760.09174311926</v>
          </cell>
          <cell r="L73">
            <v>9896.9798657718202</v>
          </cell>
          <cell r="M73">
            <v>2035329.0291124599</v>
          </cell>
          <cell r="N73">
            <v>121300</v>
          </cell>
          <cell r="O73">
            <v>0</v>
          </cell>
          <cell r="P73">
            <v>69700.970887540287</v>
          </cell>
          <cell r="Q73">
            <v>69700.970887540287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28188</v>
          </cell>
          <cell r="Z73">
            <v>2254517.9999999995</v>
          </cell>
          <cell r="AA73">
            <v>0</v>
          </cell>
          <cell r="AC73">
            <v>4</v>
          </cell>
          <cell r="AD73">
            <v>1999674.19</v>
          </cell>
          <cell r="AE73">
            <v>254843.80999999959</v>
          </cell>
          <cell r="AF73">
            <v>-1</v>
          </cell>
          <cell r="AG73">
            <v>2214327.9999999995</v>
          </cell>
          <cell r="AH73">
            <v>40190</v>
          </cell>
          <cell r="AI73">
            <v>1.8149975974652358E-2</v>
          </cell>
          <cell r="AK73">
            <v>4233.8967495219877</v>
          </cell>
          <cell r="AL73">
            <v>4318.9999999999991</v>
          </cell>
        </row>
        <row r="74">
          <cell r="A74">
            <v>3732359</v>
          </cell>
          <cell r="B74" t="str">
            <v>Recoupment Academy</v>
          </cell>
          <cell r="C74">
            <v>0</v>
          </cell>
          <cell r="D74">
            <v>2359</v>
          </cell>
          <cell r="E74" t="str">
            <v>Manor Lodge Community Primary and Nursery School</v>
          </cell>
          <cell r="F74">
            <v>319</v>
          </cell>
          <cell r="G74">
            <v>1088705.0767928059</v>
          </cell>
          <cell r="H74">
            <v>59988.403906724132</v>
          </cell>
          <cell r="I74">
            <v>82926.866922056492</v>
          </cell>
          <cell r="J74">
            <v>85261.160644568678</v>
          </cell>
          <cell r="K74">
            <v>132417.55102040817</v>
          </cell>
          <cell r="L74">
            <v>33402.625482625423</v>
          </cell>
          <cell r="M74">
            <v>1482701.684769189</v>
          </cell>
          <cell r="N74">
            <v>121300</v>
          </cell>
          <cell r="O74">
            <v>3637.4025157232622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13542.729808856287</v>
          </cell>
          <cell r="U74">
            <v>13542.729808856287</v>
          </cell>
          <cell r="V74">
            <v>0</v>
          </cell>
          <cell r="W74">
            <v>0</v>
          </cell>
          <cell r="X74">
            <v>0</v>
          </cell>
          <cell r="Y74">
            <v>3558</v>
          </cell>
          <cell r="Z74">
            <v>1624739.8170937686</v>
          </cell>
          <cell r="AA74">
            <v>0</v>
          </cell>
          <cell r="AC74">
            <v>-29</v>
          </cell>
          <cell r="AD74">
            <v>1385618.0056226701</v>
          </cell>
          <cell r="AE74">
            <v>239121.81147109857</v>
          </cell>
          <cell r="AF74">
            <v>20</v>
          </cell>
          <cell r="AG74">
            <v>1503138.1446399544</v>
          </cell>
          <cell r="AH74">
            <v>121601.67245381419</v>
          </cell>
          <cell r="AI74">
            <v>8.0898534101761718E-2</v>
          </cell>
          <cell r="AK74">
            <v>5027.2178750500152</v>
          </cell>
          <cell r="AL74">
            <v>5093.2282667516256</v>
          </cell>
        </row>
        <row r="75">
          <cell r="A75">
            <v>3732012</v>
          </cell>
          <cell r="B75" t="str">
            <v>Recoupment Academy</v>
          </cell>
          <cell r="C75">
            <v>0</v>
          </cell>
          <cell r="D75">
            <v>2012</v>
          </cell>
          <cell r="E75" t="str">
            <v>Mansel Primary</v>
          </cell>
          <cell r="F75">
            <v>385</v>
          </cell>
          <cell r="G75">
            <v>1313954.4030258001</v>
          </cell>
          <cell r="H75">
            <v>75985.311615183906</v>
          </cell>
          <cell r="I75">
            <v>105326.65281479598</v>
          </cell>
          <cell r="J75">
            <v>135095.31146911078</v>
          </cell>
          <cell r="K75">
            <v>150437.85046728971</v>
          </cell>
          <cell r="L75">
            <v>10236.470588235303</v>
          </cell>
          <cell r="M75">
            <v>1791035.9999804159</v>
          </cell>
          <cell r="N75">
            <v>121300</v>
          </cell>
          <cell r="O75">
            <v>10082.499999999996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4608</v>
          </cell>
          <cell r="Z75">
            <v>1927026.4999804159</v>
          </cell>
          <cell r="AA75">
            <v>0</v>
          </cell>
          <cell r="AC75">
            <v>6</v>
          </cell>
          <cell r="AD75">
            <v>1810833.86880271</v>
          </cell>
          <cell r="AE75">
            <v>116192.63117770595</v>
          </cell>
          <cell r="AF75">
            <v>-21</v>
          </cell>
          <cell r="AG75">
            <v>1976534.2702327275</v>
          </cell>
          <cell r="AH75">
            <v>-49507.770252311602</v>
          </cell>
          <cell r="AI75">
            <v>-2.5047767194283102E-2</v>
          </cell>
          <cell r="AK75">
            <v>4868.3110104254374</v>
          </cell>
          <cell r="AL75">
            <v>5005.2636363127685</v>
          </cell>
        </row>
        <row r="76">
          <cell r="A76">
            <v>3732079</v>
          </cell>
          <cell r="B76">
            <v>0</v>
          </cell>
          <cell r="C76">
            <v>0</v>
          </cell>
          <cell r="D76">
            <v>2079</v>
          </cell>
          <cell r="E76" t="str">
            <v>Marlcliffe Community Primary School</v>
          </cell>
          <cell r="F76">
            <v>509</v>
          </cell>
          <cell r="G76">
            <v>1737150.1068574865</v>
          </cell>
          <cell r="H76">
            <v>24722.493731256065</v>
          </cell>
          <cell r="I76">
            <v>36697.521568956108</v>
          </cell>
          <cell r="J76">
            <v>47656.984100723916</v>
          </cell>
          <cell r="K76">
            <v>139110.88372093023</v>
          </cell>
          <cell r="L76">
            <v>7272.2643678160985</v>
          </cell>
          <cell r="M76">
            <v>1992610.2543471688</v>
          </cell>
          <cell r="N76">
            <v>121300</v>
          </cell>
          <cell r="O76">
            <v>0</v>
          </cell>
          <cell r="P76">
            <v>56974.745652831203</v>
          </cell>
          <cell r="Q76">
            <v>56974.745652831203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28710</v>
          </cell>
          <cell r="Z76">
            <v>2199595</v>
          </cell>
          <cell r="AA76">
            <v>0</v>
          </cell>
          <cell r="AC76">
            <v>1</v>
          </cell>
          <cell r="AD76">
            <v>1937220.43</v>
          </cell>
          <cell r="AE76">
            <v>262374.57000000007</v>
          </cell>
          <cell r="AF76">
            <v>14</v>
          </cell>
          <cell r="AG76">
            <v>2097810.0000000005</v>
          </cell>
          <cell r="AH76">
            <v>101784.99999999953</v>
          </cell>
          <cell r="AI76">
            <v>4.8519646679155648E-2</v>
          </cell>
          <cell r="AK76">
            <v>4238.0000000000009</v>
          </cell>
          <cell r="AL76">
            <v>4321.4047151277018</v>
          </cell>
        </row>
        <row r="77">
          <cell r="A77">
            <v>3732081</v>
          </cell>
          <cell r="B77">
            <v>0</v>
          </cell>
          <cell r="C77">
            <v>0</v>
          </cell>
          <cell r="D77">
            <v>2081</v>
          </cell>
          <cell r="E77" t="str">
            <v>Meersbrook Bank Primary School</v>
          </cell>
          <cell r="F77">
            <v>200</v>
          </cell>
          <cell r="G77">
            <v>682573.71585755853</v>
          </cell>
          <cell r="H77">
            <v>8725.5860227962348</v>
          </cell>
          <cell r="I77">
            <v>11438.188540973319</v>
          </cell>
          <cell r="J77">
            <v>5804.5083769940229</v>
          </cell>
          <cell r="K77">
            <v>43614.035087719298</v>
          </cell>
          <cell r="L77">
            <v>4011.834319526632</v>
          </cell>
          <cell r="M77">
            <v>756167.86820556817</v>
          </cell>
          <cell r="N77">
            <v>121300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10439.69442967557</v>
          </cell>
          <cell r="U77">
            <v>10439.69442967557</v>
          </cell>
          <cell r="V77">
            <v>0</v>
          </cell>
          <cell r="W77">
            <v>0</v>
          </cell>
          <cell r="X77">
            <v>0</v>
          </cell>
          <cell r="Y77">
            <v>14222</v>
          </cell>
          <cell r="Z77">
            <v>902129.56263524375</v>
          </cell>
          <cell r="AA77">
            <v>0</v>
          </cell>
          <cell r="AC77">
            <v>8</v>
          </cell>
          <cell r="AD77">
            <v>844693.95417262695</v>
          </cell>
          <cell r="AE77">
            <v>57435.608462616801</v>
          </cell>
          <cell r="AF77">
            <v>2</v>
          </cell>
          <cell r="AG77">
            <v>879581.78138122591</v>
          </cell>
          <cell r="AH77">
            <v>22547.781254017842</v>
          </cell>
          <cell r="AI77">
            <v>2.5634661530404352E-2</v>
          </cell>
          <cell r="AK77">
            <v>4442.3322291981103</v>
          </cell>
          <cell r="AL77">
            <v>4510.6478131762187</v>
          </cell>
        </row>
        <row r="78">
          <cell r="A78">
            <v>3732013</v>
          </cell>
          <cell r="B78" t="str">
            <v>Recoupment Academy</v>
          </cell>
          <cell r="C78">
            <v>0</v>
          </cell>
          <cell r="D78">
            <v>2013</v>
          </cell>
          <cell r="E78" t="str">
            <v>Meynell Community Primary School</v>
          </cell>
          <cell r="F78">
            <v>361</v>
          </cell>
          <cell r="G78">
            <v>1232045.5571228932</v>
          </cell>
          <cell r="H78">
            <v>91255.087155077315</v>
          </cell>
          <cell r="I78">
            <v>123913.70919387753</v>
          </cell>
          <cell r="J78">
            <v>146254.02206096603</v>
          </cell>
          <cell r="K78">
            <v>167208.05653710247</v>
          </cell>
          <cell r="L78">
            <v>15280.765472312705</v>
          </cell>
          <cell r="M78">
            <v>1775957.1975422294</v>
          </cell>
          <cell r="N78">
            <v>121300</v>
          </cell>
          <cell r="O78">
            <v>10574.291666666681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6144</v>
          </cell>
          <cell r="Z78">
            <v>1913975.4892088959</v>
          </cell>
          <cell r="AA78">
            <v>0</v>
          </cell>
          <cell r="AC78">
            <v>25</v>
          </cell>
          <cell r="AD78">
            <v>1879422.71141575</v>
          </cell>
          <cell r="AE78">
            <v>34552.777793145971</v>
          </cell>
          <cell r="AF78">
            <v>-7</v>
          </cell>
          <cell r="AG78">
            <v>1878476.6083330195</v>
          </cell>
          <cell r="AH78">
            <v>35498.880875876406</v>
          </cell>
          <cell r="AI78">
            <v>1.8897696526217856E-2</v>
          </cell>
          <cell r="AK78">
            <v>5104.5560009049441</v>
          </cell>
          <cell r="AL78">
            <v>5301.871161243479</v>
          </cell>
        </row>
        <row r="79">
          <cell r="A79">
            <v>3732346</v>
          </cell>
          <cell r="B79" t="str">
            <v>Recoupment Academy</v>
          </cell>
          <cell r="C79">
            <v>0</v>
          </cell>
          <cell r="D79">
            <v>2346</v>
          </cell>
          <cell r="E79" t="str">
            <v>Monteney Primary School</v>
          </cell>
          <cell r="F79">
            <v>400</v>
          </cell>
          <cell r="G79">
            <v>1365147.4317151171</v>
          </cell>
          <cell r="H79">
            <v>45082.194451113879</v>
          </cell>
          <cell r="I79">
            <v>63386.628164560469</v>
          </cell>
          <cell r="J79">
            <v>89190.435861668899</v>
          </cell>
          <cell r="K79">
            <v>137965.11627906977</v>
          </cell>
          <cell r="L79">
            <v>3210.2272727272825</v>
          </cell>
          <cell r="M79">
            <v>1703982.0337442576</v>
          </cell>
          <cell r="N79">
            <v>121300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5786</v>
          </cell>
          <cell r="Z79">
            <v>1831068.0337442576</v>
          </cell>
          <cell r="AA79">
            <v>0</v>
          </cell>
          <cell r="AC79">
            <v>16</v>
          </cell>
          <cell r="AD79">
            <v>1658124.3363817399</v>
          </cell>
          <cell r="AE79">
            <v>172943.69736251771</v>
          </cell>
          <cell r="AF79">
            <v>-16</v>
          </cell>
          <cell r="AG79">
            <v>1854923.6647766829</v>
          </cell>
          <cell r="AH79">
            <v>-23855.631032425212</v>
          </cell>
          <cell r="AI79">
            <v>-1.2860707685939858E-2</v>
          </cell>
          <cell r="AK79">
            <v>4458.9511172516413</v>
          </cell>
          <cell r="AL79">
            <v>4577.6700843606441</v>
          </cell>
        </row>
        <row r="80">
          <cell r="A80">
            <v>3732257</v>
          </cell>
          <cell r="B80">
            <v>0</v>
          </cell>
          <cell r="C80">
            <v>0</v>
          </cell>
          <cell r="D80">
            <v>2257</v>
          </cell>
          <cell r="E80" t="str">
            <v>Mosborough Primary School</v>
          </cell>
          <cell r="F80">
            <v>410</v>
          </cell>
          <cell r="G80">
            <v>1399276.1175079951</v>
          </cell>
          <cell r="H80">
            <v>22541.097225556947</v>
          </cell>
          <cell r="I80">
            <v>29548.653730847749</v>
          </cell>
          <cell r="J80">
            <v>8501.4983597703795</v>
          </cell>
          <cell r="K80">
            <v>71778.873239436609</v>
          </cell>
          <cell r="L80">
            <v>2639.8860398860411</v>
          </cell>
          <cell r="M80">
            <v>1534286.1261034925</v>
          </cell>
          <cell r="N80">
            <v>121300</v>
          </cell>
          <cell r="O80">
            <v>0</v>
          </cell>
          <cell r="P80">
            <v>93063.873896507284</v>
          </cell>
          <cell r="Q80">
            <v>93063.873896507284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161635.82734044717</v>
          </cell>
          <cell r="W80">
            <v>0</v>
          </cell>
          <cell r="X80">
            <v>0</v>
          </cell>
          <cell r="Y80">
            <v>38106</v>
          </cell>
          <cell r="Z80">
            <v>1948391.8273404466</v>
          </cell>
          <cell r="AA80">
            <v>0</v>
          </cell>
          <cell r="AC80">
            <v>5</v>
          </cell>
          <cell r="AD80">
            <v>1750744.2258089499</v>
          </cell>
          <cell r="AE80">
            <v>197647.60153149674</v>
          </cell>
          <cell r="AF80">
            <v>-8</v>
          </cell>
          <cell r="AG80">
            <v>1927347.2200716031</v>
          </cell>
          <cell r="AH80">
            <v>21044.607268843567</v>
          </cell>
          <cell r="AI80">
            <v>1.0918949657686349E-2</v>
          </cell>
          <cell r="AK80">
            <v>4610.8785169177108</v>
          </cell>
          <cell r="AL80">
            <v>4752.1751886352358</v>
          </cell>
        </row>
        <row r="81">
          <cell r="A81">
            <v>3732092</v>
          </cell>
          <cell r="B81">
            <v>0</v>
          </cell>
          <cell r="C81">
            <v>0</v>
          </cell>
          <cell r="D81">
            <v>2092</v>
          </cell>
          <cell r="E81" t="str">
            <v>Mundella Primary School</v>
          </cell>
          <cell r="F81">
            <v>420</v>
          </cell>
          <cell r="G81">
            <v>1433404.8033008729</v>
          </cell>
          <cell r="H81">
            <v>21086.832888424218</v>
          </cell>
          <cell r="I81">
            <v>29072.062541640469</v>
          </cell>
          <cell r="J81">
            <v>27378.617622388971</v>
          </cell>
          <cell r="K81">
            <v>96775.977653631286</v>
          </cell>
          <cell r="L81">
            <v>1318.3333333333344</v>
          </cell>
          <cell r="M81">
            <v>1609036.6273402909</v>
          </cell>
          <cell r="N81">
            <v>121300</v>
          </cell>
          <cell r="O81">
            <v>0</v>
          </cell>
          <cell r="P81">
            <v>60963.372659708766</v>
          </cell>
          <cell r="Q81">
            <v>60963.372659708766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28449</v>
          </cell>
          <cell r="Z81">
            <v>1819748.9999999998</v>
          </cell>
          <cell r="AA81">
            <v>0</v>
          </cell>
          <cell r="AC81">
            <v>-8</v>
          </cell>
          <cell r="AD81">
            <v>1572467.5</v>
          </cell>
          <cell r="AE81">
            <v>247281.49999999977</v>
          </cell>
          <cell r="AF81">
            <v>2</v>
          </cell>
          <cell r="AG81">
            <v>1775689</v>
          </cell>
          <cell r="AH81">
            <v>44059.999999999767</v>
          </cell>
          <cell r="AI81">
            <v>2.4812903610936243E-2</v>
          </cell>
          <cell r="AK81">
            <v>4248.0598086124401</v>
          </cell>
          <cell r="AL81">
            <v>4332.7357142857136</v>
          </cell>
        </row>
        <row r="82">
          <cell r="A82">
            <v>3732002</v>
          </cell>
          <cell r="B82" t="str">
            <v>Recoupment Academy</v>
          </cell>
          <cell r="C82">
            <v>0</v>
          </cell>
          <cell r="D82">
            <v>2002</v>
          </cell>
          <cell r="E82" t="str">
            <v>Nether Edge Primary School</v>
          </cell>
          <cell r="F82">
            <v>404</v>
          </cell>
          <cell r="G82">
            <v>1378798.9060322682</v>
          </cell>
          <cell r="H82">
            <v>37083.740596883923</v>
          </cell>
          <cell r="I82">
            <v>52425.030812794328</v>
          </cell>
          <cell r="J82">
            <v>31705.942484562456</v>
          </cell>
          <cell r="K82">
            <v>178328.125</v>
          </cell>
          <cell r="L82">
            <v>45788.682634730634</v>
          </cell>
          <cell r="M82">
            <v>1724130.4275612396</v>
          </cell>
          <cell r="N82">
            <v>121300</v>
          </cell>
          <cell r="O82">
            <v>3477.9999999999977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3981.55</v>
          </cell>
          <cell r="Z82">
            <v>1852889.9775612394</v>
          </cell>
          <cell r="AA82">
            <v>0</v>
          </cell>
          <cell r="AC82">
            <v>0</v>
          </cell>
          <cell r="AD82">
            <v>1687720.9059290299</v>
          </cell>
          <cell r="AE82">
            <v>165169.07163220947</v>
          </cell>
          <cell r="AF82">
            <v>11</v>
          </cell>
          <cell r="AG82">
            <v>1767099.7268072532</v>
          </cell>
          <cell r="AH82">
            <v>85790.250753986184</v>
          </cell>
          <cell r="AI82">
            <v>4.8548618650397071E-2</v>
          </cell>
          <cell r="AK82">
            <v>4496.4369638861408</v>
          </cell>
          <cell r="AL82">
            <v>4586.3613305971276</v>
          </cell>
        </row>
        <row r="83">
          <cell r="A83">
            <v>3732221</v>
          </cell>
          <cell r="B83">
            <v>0</v>
          </cell>
          <cell r="C83">
            <v>0</v>
          </cell>
          <cell r="D83">
            <v>2221</v>
          </cell>
          <cell r="E83" t="str">
            <v>Nether Green Infant School</v>
          </cell>
          <cell r="F83">
            <v>211</v>
          </cell>
          <cell r="G83">
            <v>720115.27022972424</v>
          </cell>
          <cell r="H83">
            <v>5089.925179964468</v>
          </cell>
          <cell r="I83">
            <v>6672.2766489010992</v>
          </cell>
          <cell r="J83">
            <v>4733.2674293693635</v>
          </cell>
          <cell r="K83">
            <v>69379.055997293181</v>
          </cell>
          <cell r="L83">
            <v>15778.455882352991</v>
          </cell>
          <cell r="M83">
            <v>821768.25136760541</v>
          </cell>
          <cell r="N83">
            <v>121300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14596</v>
          </cell>
          <cell r="Z83">
            <v>957664.25136760541</v>
          </cell>
          <cell r="AA83">
            <v>0</v>
          </cell>
          <cell r="AC83">
            <v>-2</v>
          </cell>
          <cell r="AD83">
            <v>798621.17</v>
          </cell>
          <cell r="AE83">
            <v>159043.08136760537</v>
          </cell>
          <cell r="AF83">
            <v>3</v>
          </cell>
          <cell r="AG83">
            <v>908536.35774711939</v>
          </cell>
          <cell r="AH83">
            <v>49127.893620486022</v>
          </cell>
          <cell r="AI83">
            <v>5.4073668270477958E-2</v>
          </cell>
          <cell r="AK83">
            <v>4367.9632583996126</v>
          </cell>
          <cell r="AL83">
            <v>4538.693134443628</v>
          </cell>
        </row>
        <row r="84">
          <cell r="A84">
            <v>3732087</v>
          </cell>
          <cell r="B84">
            <v>0</v>
          </cell>
          <cell r="C84">
            <v>0</v>
          </cell>
          <cell r="D84">
            <v>2087</v>
          </cell>
          <cell r="E84" t="str">
            <v>Nether Green Junior School</v>
          </cell>
          <cell r="F84">
            <v>359</v>
          </cell>
          <cell r="G84">
            <v>1225219.8199643176</v>
          </cell>
          <cell r="H84">
            <v>13088.379034194295</v>
          </cell>
          <cell r="I84">
            <v>18110.465189874431</v>
          </cell>
          <cell r="J84">
            <v>6882.8457856800269</v>
          </cell>
          <cell r="K84">
            <v>78516.774193548394</v>
          </cell>
          <cell r="L84">
            <v>9605.0000000000109</v>
          </cell>
          <cell r="M84">
            <v>1351423.2841676148</v>
          </cell>
          <cell r="N84">
            <v>121300</v>
          </cell>
          <cell r="O84">
            <v>0</v>
          </cell>
          <cell r="P84">
            <v>58411.715832384958</v>
          </cell>
          <cell r="Q84">
            <v>58411.715832384958</v>
          </cell>
          <cell r="R84">
            <v>0</v>
          </cell>
          <cell r="S84">
            <v>0</v>
          </cell>
          <cell r="T84">
            <v>2033.9175000013302</v>
          </cell>
          <cell r="U84">
            <v>2033.9175000013302</v>
          </cell>
          <cell r="V84">
            <v>0</v>
          </cell>
          <cell r="W84">
            <v>0</v>
          </cell>
          <cell r="X84">
            <v>0</v>
          </cell>
          <cell r="Y84">
            <v>21083</v>
          </cell>
          <cell r="Z84">
            <v>1554251.9175000007</v>
          </cell>
          <cell r="AA84">
            <v>0</v>
          </cell>
          <cell r="AC84">
            <v>22</v>
          </cell>
          <cell r="AD84">
            <v>1450044</v>
          </cell>
          <cell r="AE84">
            <v>104207.91750000068</v>
          </cell>
          <cell r="AF84">
            <v>-15</v>
          </cell>
          <cell r="AG84">
            <v>1584403.0000000005</v>
          </cell>
          <cell r="AH84">
            <v>-30151.082499999786</v>
          </cell>
          <cell r="AI84">
            <v>-1.9029932725449131E-2</v>
          </cell>
          <cell r="AK84">
            <v>4236.3716577540117</v>
          </cell>
          <cell r="AL84">
            <v>4329.3925278551551</v>
          </cell>
        </row>
        <row r="85">
          <cell r="A85">
            <v>3732272</v>
          </cell>
          <cell r="B85">
            <v>0</v>
          </cell>
          <cell r="C85">
            <v>0</v>
          </cell>
          <cell r="D85">
            <v>2272</v>
          </cell>
          <cell r="E85" t="str">
            <v>Netherthorpe Primary School</v>
          </cell>
          <cell r="F85">
            <v>206</v>
          </cell>
          <cell r="G85">
            <v>703050.92733328533</v>
          </cell>
          <cell r="H85">
            <v>36356.608428317682</v>
          </cell>
          <cell r="I85">
            <v>49565.483677551063</v>
          </cell>
          <cell r="J85">
            <v>50622.744052487818</v>
          </cell>
          <cell r="K85">
            <v>125600.71942446042</v>
          </cell>
          <cell r="L85">
            <v>66130.681818181794</v>
          </cell>
          <cell r="M85">
            <v>1031327.164734284</v>
          </cell>
          <cell r="N85">
            <v>121300</v>
          </cell>
          <cell r="O85">
            <v>6227.7317073170761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19461</v>
          </cell>
          <cell r="Z85">
            <v>1178315.8964416012</v>
          </cell>
          <cell r="AA85">
            <v>0</v>
          </cell>
          <cell r="AC85">
            <v>3</v>
          </cell>
          <cell r="AD85">
            <v>1069631.4847991299</v>
          </cell>
          <cell r="AE85">
            <v>108684.41164247133</v>
          </cell>
          <cell r="AF85">
            <v>2</v>
          </cell>
          <cell r="AG85">
            <v>1134999.6975856228</v>
          </cell>
          <cell r="AH85">
            <v>43316.198855978437</v>
          </cell>
          <cell r="AI85">
            <v>3.8164062024087654E-2</v>
          </cell>
          <cell r="AK85">
            <v>5563.724007772661</v>
          </cell>
          <cell r="AL85">
            <v>5719.9800798135984</v>
          </cell>
        </row>
        <row r="86">
          <cell r="A86">
            <v>3732309</v>
          </cell>
          <cell r="B86" t="str">
            <v>Recoupment Academy</v>
          </cell>
          <cell r="C86">
            <v>0</v>
          </cell>
          <cell r="D86">
            <v>2309</v>
          </cell>
          <cell r="E86" t="str">
            <v>Nook Lane Junior School</v>
          </cell>
          <cell r="F86">
            <v>252</v>
          </cell>
          <cell r="G86">
            <v>860042.88198052382</v>
          </cell>
          <cell r="H86">
            <v>7998.4538542298815</v>
          </cell>
          <cell r="I86">
            <v>10961.597351766102</v>
          </cell>
          <cell r="J86">
            <v>7209.9555927103684</v>
          </cell>
          <cell r="K86">
            <v>69659.032258064515</v>
          </cell>
          <cell r="L86">
            <v>1694.9999999999995</v>
          </cell>
          <cell r="M86">
            <v>957566.92103729467</v>
          </cell>
          <cell r="N86">
            <v>121300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25514.348887867025</v>
          </cell>
          <cell r="U86">
            <v>25514.348887867025</v>
          </cell>
          <cell r="V86">
            <v>0</v>
          </cell>
          <cell r="W86">
            <v>0</v>
          </cell>
          <cell r="X86">
            <v>0</v>
          </cell>
          <cell r="Y86">
            <v>4019</v>
          </cell>
          <cell r="Z86">
            <v>1108400.2699251617</v>
          </cell>
          <cell r="AA86">
            <v>0</v>
          </cell>
          <cell r="AC86">
            <v>-8</v>
          </cell>
          <cell r="AD86">
            <v>972664.99566055404</v>
          </cell>
          <cell r="AE86">
            <v>135735.27426460769</v>
          </cell>
          <cell r="AF86">
            <v>2</v>
          </cell>
          <cell r="AG86">
            <v>1081475.1192393424</v>
          </cell>
          <cell r="AH86">
            <v>26925.150685819332</v>
          </cell>
          <cell r="AI86">
            <v>2.4896689906982961E-2</v>
          </cell>
          <cell r="AK86">
            <v>4325.9004769573694</v>
          </cell>
          <cell r="AL86">
            <v>4398.4137695442923</v>
          </cell>
        </row>
        <row r="87">
          <cell r="A87">
            <v>3732051</v>
          </cell>
          <cell r="B87" t="str">
            <v>Recoupment Academy</v>
          </cell>
          <cell r="C87">
            <v>0</v>
          </cell>
          <cell r="D87">
            <v>2051</v>
          </cell>
          <cell r="E87" t="str">
            <v>Norfolk Community Primary School</v>
          </cell>
          <cell r="F87">
            <v>388</v>
          </cell>
          <cell r="G87">
            <v>1324193.0087636635</v>
          </cell>
          <cell r="H87">
            <v>81075.236795148332</v>
          </cell>
          <cell r="I87">
            <v>110569.15589607542</v>
          </cell>
          <cell r="J87">
            <v>137768.50246756352</v>
          </cell>
          <cell r="K87">
            <v>195035.58718861209</v>
          </cell>
          <cell r="L87">
            <v>31983.465045592617</v>
          </cell>
          <cell r="M87">
            <v>1880624.9561566554</v>
          </cell>
          <cell r="N87">
            <v>121300</v>
          </cell>
          <cell r="O87">
            <v>22866.000000000156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10957</v>
          </cell>
          <cell r="Z87">
            <v>2035747.9561566554</v>
          </cell>
          <cell r="AA87">
            <v>0</v>
          </cell>
          <cell r="AC87">
            <v>2</v>
          </cell>
          <cell r="AD87">
            <v>1787787.43258019</v>
          </cell>
          <cell r="AE87">
            <v>247960.52357646544</v>
          </cell>
          <cell r="AF87">
            <v>13</v>
          </cell>
          <cell r="AG87">
            <v>1898027.9421939985</v>
          </cell>
          <cell r="AH87">
            <v>137720.01396265696</v>
          </cell>
          <cell r="AI87">
            <v>7.2559529236150999E-2</v>
          </cell>
          <cell r="AK87">
            <v>5061.4078458506629</v>
          </cell>
          <cell r="AL87">
            <v>5246.7730828779777</v>
          </cell>
        </row>
        <row r="88">
          <cell r="A88">
            <v>3733010</v>
          </cell>
          <cell r="B88">
            <v>0</v>
          </cell>
          <cell r="C88">
            <v>0</v>
          </cell>
          <cell r="D88">
            <v>3010</v>
          </cell>
          <cell r="E88" t="str">
            <v>Norton Free Church of England Primary School</v>
          </cell>
          <cell r="F88">
            <v>209</v>
          </cell>
          <cell r="G88">
            <v>713289.53307114867</v>
          </cell>
          <cell r="H88">
            <v>8725.5860227961984</v>
          </cell>
          <cell r="I88">
            <v>12867.962108594942</v>
          </cell>
          <cell r="J88">
            <v>19748.84069611465</v>
          </cell>
          <cell r="K88">
            <v>54094.804469273746</v>
          </cell>
          <cell r="L88">
            <v>0</v>
          </cell>
          <cell r="M88">
            <v>808726.72636792832</v>
          </cell>
          <cell r="N88">
            <v>121300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9912.2281326918746</v>
          </cell>
          <cell r="U88">
            <v>9912.2281326918746</v>
          </cell>
          <cell r="V88">
            <v>0</v>
          </cell>
          <cell r="W88">
            <v>0</v>
          </cell>
          <cell r="X88">
            <v>0</v>
          </cell>
          <cell r="Y88">
            <v>4466</v>
          </cell>
          <cell r="Z88">
            <v>944404.95450062025</v>
          </cell>
          <cell r="AA88">
            <v>0</v>
          </cell>
          <cell r="AC88">
            <v>3</v>
          </cell>
          <cell r="AD88">
            <v>846286.21663240402</v>
          </cell>
          <cell r="AE88">
            <v>98118.737868216238</v>
          </cell>
          <cell r="AF88">
            <v>2</v>
          </cell>
          <cell r="AG88">
            <v>920789.34990908636</v>
          </cell>
          <cell r="AH88">
            <v>23615.604591533891</v>
          </cell>
          <cell r="AI88">
            <v>2.5647130468945546E-2</v>
          </cell>
          <cell r="AK88">
            <v>4448.257729029403</v>
          </cell>
          <cell r="AL88">
            <v>4518.6839928259342</v>
          </cell>
        </row>
        <row r="89">
          <cell r="A89">
            <v>3732018</v>
          </cell>
          <cell r="B89" t="str">
            <v>Recoupment Academy</v>
          </cell>
          <cell r="C89">
            <v>0</v>
          </cell>
          <cell r="D89">
            <v>2018</v>
          </cell>
          <cell r="E89" t="str">
            <v>Oasis Academy Fir Vale</v>
          </cell>
          <cell r="F89">
            <v>401</v>
          </cell>
          <cell r="G89">
            <v>1368560.3002944048</v>
          </cell>
          <cell r="H89">
            <v>106161.29661068761</v>
          </cell>
          <cell r="I89">
            <v>141547.5831945448</v>
          </cell>
          <cell r="J89">
            <v>131864.3617985626</v>
          </cell>
          <cell r="K89">
            <v>379595.74561403517</v>
          </cell>
          <cell r="L89">
            <v>129279.16426512974</v>
          </cell>
          <cell r="M89">
            <v>2257008.4517773646</v>
          </cell>
          <cell r="N89">
            <v>121300</v>
          </cell>
          <cell r="O89">
            <v>46537.607769423674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7373</v>
          </cell>
          <cell r="Z89">
            <v>2432219.0595467887</v>
          </cell>
          <cell r="AA89">
            <v>0</v>
          </cell>
          <cell r="AC89">
            <v>-38</v>
          </cell>
          <cell r="AD89">
            <v>2004056.9998393999</v>
          </cell>
          <cell r="AE89">
            <v>428162.05970738875</v>
          </cell>
          <cell r="AF89">
            <v>20</v>
          </cell>
          <cell r="AG89">
            <v>2202407.1745283557</v>
          </cell>
          <cell r="AH89">
            <v>229811.88501843298</v>
          </cell>
          <cell r="AI89">
            <v>0.10434577569320126</v>
          </cell>
          <cell r="AK89">
            <v>5780.596258604608</v>
          </cell>
          <cell r="AL89">
            <v>6065.3841883959822</v>
          </cell>
        </row>
        <row r="90">
          <cell r="A90">
            <v>3732019</v>
          </cell>
          <cell r="B90" t="str">
            <v>Recoupment Academy</v>
          </cell>
          <cell r="C90">
            <v>0</v>
          </cell>
          <cell r="D90">
            <v>2019</v>
          </cell>
          <cell r="E90" t="str">
            <v>Oasis Academy Watermead</v>
          </cell>
          <cell r="F90">
            <v>377</v>
          </cell>
          <cell r="G90">
            <v>1286651.4543914979</v>
          </cell>
          <cell r="H90">
            <v>73803.915109484762</v>
          </cell>
          <cell r="I90">
            <v>103896.87924717439</v>
          </cell>
          <cell r="J90">
            <v>140182.55433180041</v>
          </cell>
          <cell r="K90">
            <v>148685.84313725488</v>
          </cell>
          <cell r="L90">
            <v>29658.924050632926</v>
          </cell>
          <cell r="M90">
            <v>1782879.5702678452</v>
          </cell>
          <cell r="N90">
            <v>121300</v>
          </cell>
          <cell r="O90">
            <v>11624.166666666655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55635.223946721351</v>
          </cell>
          <cell r="U90">
            <v>55635.223946721351</v>
          </cell>
          <cell r="V90">
            <v>0</v>
          </cell>
          <cell r="W90">
            <v>0</v>
          </cell>
          <cell r="X90">
            <v>0</v>
          </cell>
          <cell r="Y90">
            <v>10547</v>
          </cell>
          <cell r="Z90">
            <v>1981985.960881233</v>
          </cell>
          <cell r="AA90">
            <v>0</v>
          </cell>
          <cell r="AC90">
            <v>-88</v>
          </cell>
          <cell r="AD90">
            <v>1411384.2818213401</v>
          </cell>
          <cell r="AE90">
            <v>570601.67905989289</v>
          </cell>
          <cell r="AF90">
            <v>27</v>
          </cell>
          <cell r="AG90">
            <v>1815803.7098775224</v>
          </cell>
          <cell r="AH90">
            <v>166182.25100371055</v>
          </cell>
          <cell r="AI90">
            <v>9.1519942436354917E-2</v>
          </cell>
          <cell r="AK90">
            <v>5188.0105996500643</v>
          </cell>
          <cell r="AL90">
            <v>5257.2571906664007</v>
          </cell>
        </row>
        <row r="91">
          <cell r="A91">
            <v>3732313</v>
          </cell>
          <cell r="B91" t="str">
            <v>Recoupment Academy</v>
          </cell>
          <cell r="C91">
            <v>0</v>
          </cell>
          <cell r="D91">
            <v>2313</v>
          </cell>
          <cell r="E91" t="str">
            <v>Oughtibridge Primary School</v>
          </cell>
          <cell r="F91">
            <v>416</v>
          </cell>
          <cell r="G91">
            <v>1419753.3289837218</v>
          </cell>
          <cell r="H91">
            <v>13088.379034194344</v>
          </cell>
          <cell r="I91">
            <v>17633.874000667198</v>
          </cell>
          <cell r="J91">
            <v>5630.1640902948166</v>
          </cell>
          <cell r="K91">
            <v>60233.09192200558</v>
          </cell>
          <cell r="L91">
            <v>651.08033240997122</v>
          </cell>
          <cell r="M91">
            <v>1516989.9183632939</v>
          </cell>
          <cell r="N91">
            <v>121300</v>
          </cell>
          <cell r="O91">
            <v>0</v>
          </cell>
          <cell r="P91">
            <v>135950.08163670637</v>
          </cell>
          <cell r="Q91">
            <v>135950.08163670637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6656</v>
          </cell>
          <cell r="Z91">
            <v>1780896.0000000002</v>
          </cell>
          <cell r="AA91">
            <v>0</v>
          </cell>
          <cell r="AC91">
            <v>9</v>
          </cell>
          <cell r="AD91">
            <v>1625664.36</v>
          </cell>
          <cell r="AE91">
            <v>155231.64000000013</v>
          </cell>
          <cell r="AF91">
            <v>-5</v>
          </cell>
          <cell r="AG91">
            <v>1767183</v>
          </cell>
          <cell r="AH91">
            <v>13713.000000000233</v>
          </cell>
          <cell r="AI91">
            <v>7.7598075581307834E-3</v>
          </cell>
          <cell r="AK91">
            <v>4197.5843230403798</v>
          </cell>
          <cell r="AL91">
            <v>4281.0000000000009</v>
          </cell>
        </row>
        <row r="92">
          <cell r="A92">
            <v>3732093</v>
          </cell>
          <cell r="B92" t="str">
            <v>Recoupment Academy</v>
          </cell>
          <cell r="C92">
            <v>0</v>
          </cell>
          <cell r="D92">
            <v>2093</v>
          </cell>
          <cell r="E92" t="str">
            <v>Owler Brook Primary School</v>
          </cell>
          <cell r="F92">
            <v>384</v>
          </cell>
          <cell r="G92">
            <v>1310541.5344465123</v>
          </cell>
          <cell r="H92">
            <v>77439.575952316591</v>
          </cell>
          <cell r="I92">
            <v>106756.42638241759</v>
          </cell>
          <cell r="J92">
            <v>132619.22786038494</v>
          </cell>
          <cell r="K92">
            <v>231328.21192052978</v>
          </cell>
          <cell r="L92">
            <v>93074.556213017815</v>
          </cell>
          <cell r="M92">
            <v>1951759.532775179</v>
          </cell>
          <cell r="N92">
            <v>121300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151385.75048471149</v>
          </cell>
          <cell r="W92">
            <v>0</v>
          </cell>
          <cell r="X92">
            <v>0</v>
          </cell>
          <cell r="Y92">
            <v>10342</v>
          </cell>
          <cell r="Z92">
            <v>2234787.2832598905</v>
          </cell>
          <cell r="AA92">
            <v>0</v>
          </cell>
          <cell r="AC92">
            <v>67</v>
          </cell>
          <cell r="AD92">
            <v>2412685.9809451802</v>
          </cell>
          <cell r="AE92">
            <v>-177898.69768528966</v>
          </cell>
          <cell r="AF92">
            <v>-29</v>
          </cell>
          <cell r="AG92">
            <v>2321106.5323673044</v>
          </cell>
          <cell r="AH92">
            <v>-86319.249107413925</v>
          </cell>
          <cell r="AI92">
            <v>-3.7188835541889856E-2</v>
          </cell>
          <cell r="AK92">
            <v>5620.1126691702284</v>
          </cell>
          <cell r="AL92">
            <v>5819.7585501559652</v>
          </cell>
        </row>
        <row r="93">
          <cell r="A93">
            <v>3733428</v>
          </cell>
          <cell r="B93">
            <v>0</v>
          </cell>
          <cell r="C93">
            <v>0</v>
          </cell>
          <cell r="D93">
            <v>3428</v>
          </cell>
          <cell r="E93" t="str">
            <v>Parson Cross Church of England Primary School</v>
          </cell>
          <cell r="F93">
            <v>201</v>
          </cell>
          <cell r="G93">
            <v>685986.58443684631</v>
          </cell>
          <cell r="H93">
            <v>20723.266804141072</v>
          </cell>
          <cell r="I93">
            <v>28118.880163226102</v>
          </cell>
          <cell r="J93">
            <v>59277.99731577334</v>
          </cell>
          <cell r="K93">
            <v>50958.653846153837</v>
          </cell>
          <cell r="L93">
            <v>664.12280701754401</v>
          </cell>
          <cell r="M93">
            <v>845729.50537315826</v>
          </cell>
          <cell r="N93">
            <v>121300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3892</v>
          </cell>
          <cell r="Z93">
            <v>970921.50537315826</v>
          </cell>
          <cell r="AA93">
            <v>0</v>
          </cell>
          <cell r="AC93">
            <v>0</v>
          </cell>
          <cell r="AD93">
            <v>877689.14222549798</v>
          </cell>
          <cell r="AE93">
            <v>93232.363147660275</v>
          </cell>
          <cell r="AF93">
            <v>-2</v>
          </cell>
          <cell r="AG93">
            <v>956596.90544674266</v>
          </cell>
          <cell r="AH93">
            <v>14324.599926415598</v>
          </cell>
          <cell r="AI93">
            <v>1.4974541360998687E-2</v>
          </cell>
          <cell r="AK93">
            <v>4712.3000268312444</v>
          </cell>
          <cell r="AL93">
            <v>4830.4552506127275</v>
          </cell>
        </row>
        <row r="94">
          <cell r="A94">
            <v>3732332</v>
          </cell>
          <cell r="B94" t="str">
            <v>Recoupment Academy</v>
          </cell>
          <cell r="C94">
            <v>0</v>
          </cell>
          <cell r="D94">
            <v>2332</v>
          </cell>
          <cell r="E94" t="str">
            <v>Phillimore Community Primary School</v>
          </cell>
          <cell r="F94">
            <v>413</v>
          </cell>
          <cell r="G94">
            <v>1409514.7232458584</v>
          </cell>
          <cell r="H94">
            <v>88710.124565095117</v>
          </cell>
          <cell r="I94">
            <v>120100.9796802199</v>
          </cell>
          <cell r="J94">
            <v>148467.23296857227</v>
          </cell>
          <cell r="K94">
            <v>197260.72164948453</v>
          </cell>
          <cell r="L94">
            <v>98215.833333333358</v>
          </cell>
          <cell r="M94">
            <v>2062269.6154425635</v>
          </cell>
          <cell r="N94">
            <v>121300</v>
          </cell>
          <cell r="O94">
            <v>10459.325242718438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7890</v>
          </cell>
          <cell r="Z94">
            <v>2201918.9406852825</v>
          </cell>
          <cell r="AA94">
            <v>0</v>
          </cell>
          <cell r="AC94">
            <v>-14</v>
          </cell>
          <cell r="AD94">
            <v>1899213.4542477699</v>
          </cell>
          <cell r="AE94">
            <v>302705.48643751256</v>
          </cell>
          <cell r="AF94">
            <v>2</v>
          </cell>
          <cell r="AG94">
            <v>2085962.8449513118</v>
          </cell>
          <cell r="AH94">
            <v>115956.09573397064</v>
          </cell>
          <cell r="AI94">
            <v>5.5588763728280671E-2</v>
          </cell>
          <cell r="AK94">
            <v>5075.3353891759416</v>
          </cell>
          <cell r="AL94">
            <v>5331.5228588021364</v>
          </cell>
        </row>
        <row r="95">
          <cell r="A95">
            <v>3733433</v>
          </cell>
          <cell r="B95">
            <v>0</v>
          </cell>
          <cell r="C95">
            <v>0</v>
          </cell>
          <cell r="D95">
            <v>3433</v>
          </cell>
          <cell r="E95" t="str">
            <v>Pipworth Community Primary School</v>
          </cell>
          <cell r="F95">
            <v>410</v>
          </cell>
          <cell r="G95">
            <v>1399276.1175079951</v>
          </cell>
          <cell r="H95">
            <v>89073.690649378215</v>
          </cell>
          <cell r="I95">
            <v>122960.52681546322</v>
          </cell>
          <cell r="J95">
            <v>161485.093608208</v>
          </cell>
          <cell r="K95">
            <v>175424.27184466022</v>
          </cell>
          <cell r="L95">
            <v>39262.711864406825</v>
          </cell>
          <cell r="M95">
            <v>1987482.4122901116</v>
          </cell>
          <cell r="N95">
            <v>121300</v>
          </cell>
          <cell r="O95">
            <v>28120.000000000138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26697</v>
          </cell>
          <cell r="Z95">
            <v>2163599.4122901116</v>
          </cell>
          <cell r="AA95">
            <v>0</v>
          </cell>
          <cell r="AC95">
            <v>-3</v>
          </cell>
          <cell r="AD95">
            <v>1920941.01716314</v>
          </cell>
          <cell r="AE95">
            <v>242658.39512697165</v>
          </cell>
          <cell r="AF95">
            <v>22</v>
          </cell>
          <cell r="AG95">
            <v>1940072.312610067</v>
          </cell>
          <cell r="AH95">
            <v>223527.09968004469</v>
          </cell>
          <cell r="AI95">
            <v>0.1152158598559265</v>
          </cell>
          <cell r="AK95">
            <v>5000.1863727063583</v>
          </cell>
          <cell r="AL95">
            <v>5277.0717372929548</v>
          </cell>
        </row>
        <row r="96">
          <cell r="A96">
            <v>3733427</v>
          </cell>
          <cell r="B96" t="str">
            <v>Recoupment Academy</v>
          </cell>
          <cell r="C96">
            <v>0</v>
          </cell>
          <cell r="D96">
            <v>3427</v>
          </cell>
          <cell r="E96" t="str">
            <v>Porter Croft Church of England Primary Academy</v>
          </cell>
          <cell r="F96">
            <v>213</v>
          </cell>
          <cell r="G96">
            <v>726941.0073882998</v>
          </cell>
          <cell r="H96">
            <v>27631.022405521395</v>
          </cell>
          <cell r="I96">
            <v>41940.024650235464</v>
          </cell>
          <cell r="J96">
            <v>55380.776092470609</v>
          </cell>
          <cell r="K96">
            <v>80728.322981366466</v>
          </cell>
          <cell r="L96">
            <v>40558.259668508246</v>
          </cell>
          <cell r="M96">
            <v>973179.41318640183</v>
          </cell>
          <cell r="N96">
            <v>121300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2637</v>
          </cell>
          <cell r="Z96">
            <v>1097116.4131864018</v>
          </cell>
          <cell r="AA96">
            <v>0</v>
          </cell>
          <cell r="AC96">
            <v>2</v>
          </cell>
          <cell r="AD96">
            <v>1004608.2268376</v>
          </cell>
          <cell r="AE96">
            <v>92508.186348801828</v>
          </cell>
          <cell r="AF96">
            <v>0</v>
          </cell>
          <cell r="AG96">
            <v>1070585.1643827129</v>
          </cell>
          <cell r="AH96">
            <v>26531.248803688912</v>
          </cell>
          <cell r="AI96">
            <v>2.4782006781297519E-2</v>
          </cell>
          <cell r="AK96">
            <v>5026.2214290268212</v>
          </cell>
          <cell r="AL96">
            <v>5150.7812825652672</v>
          </cell>
        </row>
        <row r="97">
          <cell r="A97">
            <v>3732347</v>
          </cell>
          <cell r="B97">
            <v>0</v>
          </cell>
          <cell r="C97">
            <v>0</v>
          </cell>
          <cell r="D97">
            <v>2347</v>
          </cell>
          <cell r="E97" t="str">
            <v>Prince Edward Primary School</v>
          </cell>
          <cell r="F97">
            <v>411</v>
          </cell>
          <cell r="G97">
            <v>1402688.9860872829</v>
          </cell>
          <cell r="H97">
            <v>76712.443783750248</v>
          </cell>
          <cell r="I97">
            <v>106756.4263824177</v>
          </cell>
          <cell r="J97">
            <v>162132.91676120722</v>
          </cell>
          <cell r="K97">
            <v>182608.69969040249</v>
          </cell>
          <cell r="L97">
            <v>31094.31623931626</v>
          </cell>
          <cell r="M97">
            <v>1961993.7889443769</v>
          </cell>
          <cell r="N97">
            <v>121300</v>
          </cell>
          <cell r="O97">
            <v>8716.2073170731783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48403</v>
          </cell>
          <cell r="Z97">
            <v>2140412.9962614505</v>
          </cell>
          <cell r="AA97">
            <v>0</v>
          </cell>
          <cell r="AC97">
            <v>-12</v>
          </cell>
          <cell r="AD97">
            <v>1941385.6711919899</v>
          </cell>
          <cell r="AE97">
            <v>199027.32506946055</v>
          </cell>
          <cell r="AF97">
            <v>7</v>
          </cell>
          <cell r="AG97">
            <v>2058000.9516032049</v>
          </cell>
          <cell r="AH97">
            <v>82412.044658245519</v>
          </cell>
          <cell r="AI97">
            <v>4.0044706779190579E-2</v>
          </cell>
          <cell r="AK97">
            <v>5094.0617613940713</v>
          </cell>
          <cell r="AL97">
            <v>5207.8175091519479</v>
          </cell>
        </row>
        <row r="98">
          <cell r="A98">
            <v>3732366</v>
          </cell>
          <cell r="B98" t="str">
            <v>Recoupment Academy</v>
          </cell>
          <cell r="C98">
            <v>0</v>
          </cell>
          <cell r="D98">
            <v>2366</v>
          </cell>
          <cell r="E98" t="str">
            <v>Pye Bank CofE Primary School</v>
          </cell>
          <cell r="F98">
            <v>393</v>
          </cell>
          <cell r="G98">
            <v>1341257.3516601026</v>
          </cell>
          <cell r="H98">
            <v>75621.745530900705</v>
          </cell>
          <cell r="I98">
            <v>102943.69686875986</v>
          </cell>
          <cell r="J98">
            <v>137702.87324633676</v>
          </cell>
          <cell r="K98">
            <v>117639.73509933776</v>
          </cell>
          <cell r="L98">
            <v>92194.122807017528</v>
          </cell>
          <cell r="M98">
            <v>1867359.5252124553</v>
          </cell>
          <cell r="N98">
            <v>121300</v>
          </cell>
          <cell r="O98">
            <v>3163.5000000000068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9882</v>
          </cell>
          <cell r="Z98">
            <v>2001705.0252124553</v>
          </cell>
          <cell r="AA98">
            <v>0</v>
          </cell>
          <cell r="AC98">
            <v>27</v>
          </cell>
          <cell r="AD98">
            <v>1964228.81241554</v>
          </cell>
          <cell r="AE98">
            <v>37476.212796915323</v>
          </cell>
          <cell r="AF98">
            <v>-12</v>
          </cell>
          <cell r="AG98">
            <v>2010867.1226670567</v>
          </cell>
          <cell r="AH98">
            <v>-9162.0974546014331</v>
          </cell>
          <cell r="AI98">
            <v>-4.5562918361555108E-3</v>
          </cell>
          <cell r="AK98">
            <v>4965.1040065853249</v>
          </cell>
          <cell r="AL98">
            <v>5093.397010718716</v>
          </cell>
        </row>
        <row r="99">
          <cell r="A99">
            <v>3732363</v>
          </cell>
          <cell r="B99" t="str">
            <v>Recoupment Academy</v>
          </cell>
          <cell r="C99">
            <v>0</v>
          </cell>
          <cell r="D99">
            <v>2363</v>
          </cell>
          <cell r="E99" t="str">
            <v>Rainbow Forge Primary Academy</v>
          </cell>
          <cell r="F99">
            <v>288</v>
          </cell>
          <cell r="G99">
            <v>982906.15083488426</v>
          </cell>
          <cell r="H99">
            <v>47627.157041096107</v>
          </cell>
          <cell r="I99">
            <v>63863.219353767723</v>
          </cell>
          <cell r="J99">
            <v>53237.280041466642</v>
          </cell>
          <cell r="K99">
            <v>96182.672064777318</v>
          </cell>
          <cell r="L99">
            <v>6381.1764705882351</v>
          </cell>
          <cell r="M99">
            <v>1250197.6558065803</v>
          </cell>
          <cell r="N99">
            <v>121300</v>
          </cell>
          <cell r="O99">
            <v>6215.9999999999927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4173</v>
          </cell>
          <cell r="Z99">
            <v>1381886.6558065803</v>
          </cell>
          <cell r="AA99">
            <v>0</v>
          </cell>
          <cell r="AC99">
            <v>24</v>
          </cell>
          <cell r="AD99">
            <v>1313669.7285486399</v>
          </cell>
          <cell r="AE99">
            <v>68216.927257940406</v>
          </cell>
          <cell r="AF99">
            <v>-23</v>
          </cell>
          <cell r="AG99">
            <v>1435380.1589239058</v>
          </cell>
          <cell r="AH99">
            <v>-53493.503117325483</v>
          </cell>
          <cell r="AI99">
            <v>-3.7267829560518086E-2</v>
          </cell>
          <cell r="AK99">
            <v>4615.3702859289579</v>
          </cell>
          <cell r="AL99">
            <v>4798.2175548839596</v>
          </cell>
        </row>
        <row r="100">
          <cell r="A100">
            <v>3732334</v>
          </cell>
          <cell r="B100">
            <v>0</v>
          </cell>
          <cell r="C100">
            <v>0</v>
          </cell>
          <cell r="D100">
            <v>2334</v>
          </cell>
          <cell r="E100" t="str">
            <v>Reignhead Primary School</v>
          </cell>
          <cell r="F100">
            <v>264</v>
          </cell>
          <cell r="G100">
            <v>900997.3049319773</v>
          </cell>
          <cell r="H100">
            <v>31993.815416919493</v>
          </cell>
          <cell r="I100">
            <v>44799.571785478824</v>
          </cell>
          <cell r="J100">
            <v>35282.23266720293</v>
          </cell>
          <cell r="K100">
            <v>99000.000000000015</v>
          </cell>
          <cell r="L100">
            <v>1872.3012552301216</v>
          </cell>
          <cell r="M100">
            <v>1113945.2260568088</v>
          </cell>
          <cell r="N100">
            <v>121300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31842</v>
          </cell>
          <cell r="Z100">
            <v>1267087.2260568088</v>
          </cell>
          <cell r="AA100">
            <v>0</v>
          </cell>
          <cell r="AC100">
            <v>5</v>
          </cell>
          <cell r="AD100">
            <v>1121872.92461512</v>
          </cell>
          <cell r="AE100">
            <v>145214.30144168879</v>
          </cell>
          <cell r="AF100">
            <v>-6</v>
          </cell>
          <cell r="AG100">
            <v>1262607.7241646138</v>
          </cell>
          <cell r="AH100">
            <v>4479.5018921950832</v>
          </cell>
          <cell r="AI100">
            <v>3.5478175893141166E-3</v>
          </cell>
          <cell r="AK100">
            <v>4676.3249043133846</v>
          </cell>
          <cell r="AL100">
            <v>4799.5728259727612</v>
          </cell>
        </row>
        <row r="101">
          <cell r="A101">
            <v>3732338</v>
          </cell>
          <cell r="B101">
            <v>0</v>
          </cell>
          <cell r="C101">
            <v>0</v>
          </cell>
          <cell r="D101">
            <v>2338</v>
          </cell>
          <cell r="E101" t="str">
            <v>Rivelin Primary School</v>
          </cell>
          <cell r="F101">
            <v>318</v>
          </cell>
          <cell r="G101">
            <v>1085292.2082135181</v>
          </cell>
          <cell r="H101">
            <v>23268.229394123278</v>
          </cell>
          <cell r="I101">
            <v>34314.56562292001</v>
          </cell>
          <cell r="J101">
            <v>26207.761609292047</v>
          </cell>
          <cell r="K101">
            <v>92244.367816091952</v>
          </cell>
          <cell r="L101">
            <v>18608.678571428645</v>
          </cell>
          <cell r="M101">
            <v>1279935.811227374</v>
          </cell>
          <cell r="N101">
            <v>121300</v>
          </cell>
          <cell r="O101">
            <v>909.35962145111193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10027.244426124937</v>
          </cell>
          <cell r="U101">
            <v>10027.244426124937</v>
          </cell>
          <cell r="V101">
            <v>0</v>
          </cell>
          <cell r="W101">
            <v>0</v>
          </cell>
          <cell r="X101">
            <v>0</v>
          </cell>
          <cell r="Y101">
            <v>23578</v>
          </cell>
          <cell r="Z101">
            <v>1435750.4152749497</v>
          </cell>
          <cell r="AA101">
            <v>0</v>
          </cell>
          <cell r="AC101">
            <v>49</v>
          </cell>
          <cell r="AD101">
            <v>1424272.4096266101</v>
          </cell>
          <cell r="AE101">
            <v>11478.005648339633</v>
          </cell>
          <cell r="AF101">
            <v>-24</v>
          </cell>
          <cell r="AG101">
            <v>1505952.9936305087</v>
          </cell>
          <cell r="AH101">
            <v>-70202.578355558915</v>
          </cell>
          <cell r="AI101">
            <v>-4.6616712907032065E-2</v>
          </cell>
          <cell r="AK101">
            <v>4403.3713264049957</v>
          </cell>
          <cell r="AL101">
            <v>4514.9384128143074</v>
          </cell>
        </row>
        <row r="102">
          <cell r="A102">
            <v>3732306</v>
          </cell>
          <cell r="B102">
            <v>0</v>
          </cell>
          <cell r="C102">
            <v>0</v>
          </cell>
          <cell r="D102">
            <v>2306</v>
          </cell>
          <cell r="E102" t="str">
            <v>Royd Nursery and Infant School</v>
          </cell>
          <cell r="F102">
            <v>130</v>
          </cell>
          <cell r="G102">
            <v>443672.91530741303</v>
          </cell>
          <cell r="H102">
            <v>10543.416444212113</v>
          </cell>
          <cell r="I102">
            <v>13821.14448700942</v>
          </cell>
          <cell r="J102">
            <v>8376.1045279300288</v>
          </cell>
          <cell r="K102">
            <v>42745.389950938923</v>
          </cell>
          <cell r="L102">
            <v>884.93975903614182</v>
          </cell>
          <cell r="M102">
            <v>520043.91047653969</v>
          </cell>
          <cell r="N102">
            <v>121300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14596</v>
          </cell>
          <cell r="Z102">
            <v>655939.91047653975</v>
          </cell>
          <cell r="AA102">
            <v>0</v>
          </cell>
          <cell r="AC102">
            <v>23</v>
          </cell>
          <cell r="AD102">
            <v>661146.45077807002</v>
          </cell>
          <cell r="AE102">
            <v>-5206.5403015302727</v>
          </cell>
          <cell r="AF102">
            <v>-6</v>
          </cell>
          <cell r="AG102">
            <v>666170.54128763091</v>
          </cell>
          <cell r="AH102">
            <v>-10230.630811091163</v>
          </cell>
          <cell r="AI102">
            <v>-1.5357374991869998E-2</v>
          </cell>
          <cell r="AK102">
            <v>4898.3128035855216</v>
          </cell>
          <cell r="AL102">
            <v>5045.6916190503061</v>
          </cell>
        </row>
        <row r="103">
          <cell r="A103">
            <v>3733401</v>
          </cell>
          <cell r="B103" t="str">
            <v>Recoupment Academy</v>
          </cell>
          <cell r="C103">
            <v>0</v>
          </cell>
          <cell r="D103">
            <v>3401</v>
          </cell>
          <cell r="E103" t="str">
            <v>Sacred Heart School, A Catholic Voluntary Academy</v>
          </cell>
          <cell r="F103">
            <v>206</v>
          </cell>
          <cell r="G103">
            <v>703050.92733328533</v>
          </cell>
          <cell r="H103">
            <v>11270.548612778479</v>
          </cell>
          <cell r="I103">
            <v>17157.282811459972</v>
          </cell>
          <cell r="J103">
            <v>19809.884073096153</v>
          </cell>
          <cell r="K103">
            <v>54537.028571428578</v>
          </cell>
          <cell r="L103">
            <v>13226.136363636404</v>
          </cell>
          <cell r="M103">
            <v>819051.80776568479</v>
          </cell>
          <cell r="N103">
            <v>121300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10222.274629096682</v>
          </cell>
          <cell r="U103">
            <v>10222.274629096682</v>
          </cell>
          <cell r="V103">
            <v>0</v>
          </cell>
          <cell r="W103">
            <v>0</v>
          </cell>
          <cell r="X103">
            <v>0</v>
          </cell>
          <cell r="Y103">
            <v>3661</v>
          </cell>
          <cell r="Z103">
            <v>954235.08239478152</v>
          </cell>
          <cell r="AA103">
            <v>0</v>
          </cell>
          <cell r="AC103">
            <v>3</v>
          </cell>
          <cell r="AD103">
            <v>855573.61855393206</v>
          </cell>
          <cell r="AE103">
            <v>98661.463840849465</v>
          </cell>
          <cell r="AF103">
            <v>-1</v>
          </cell>
          <cell r="AG103">
            <v>941921.27523180773</v>
          </cell>
          <cell r="AH103">
            <v>12313.807162973797</v>
          </cell>
          <cell r="AI103">
            <v>1.3073074668520845E-2</v>
          </cell>
          <cell r="AK103">
            <v>4550.3443247913419</v>
          </cell>
          <cell r="AL103">
            <v>4632.2091378387449</v>
          </cell>
        </row>
        <row r="104">
          <cell r="A104">
            <v>3732369</v>
          </cell>
          <cell r="B104">
            <v>0</v>
          </cell>
          <cell r="C104">
            <v>0</v>
          </cell>
          <cell r="D104">
            <v>2369</v>
          </cell>
          <cell r="E104" t="str">
            <v>Sharrow Nursery, Infant and Junior School</v>
          </cell>
          <cell r="F104">
            <v>415</v>
          </cell>
          <cell r="G104">
            <v>1416340.460404434</v>
          </cell>
          <cell r="H104">
            <v>57079.875232458675</v>
          </cell>
          <cell r="I104">
            <v>78160.955029984296</v>
          </cell>
          <cell r="J104">
            <v>79769.665613543591</v>
          </cell>
          <cell r="K104">
            <v>169057.21003134796</v>
          </cell>
          <cell r="L104">
            <v>97205.322128851491</v>
          </cell>
          <cell r="M104">
            <v>1897613.48844062</v>
          </cell>
          <cell r="N104">
            <v>121300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51939</v>
          </cell>
          <cell r="Z104">
            <v>2070852.48844062</v>
          </cell>
          <cell r="AA104">
            <v>0</v>
          </cell>
          <cell r="AC104">
            <v>-3</v>
          </cell>
          <cell r="AD104">
            <v>1856759.9905211299</v>
          </cell>
          <cell r="AE104">
            <v>214092.4979194901</v>
          </cell>
          <cell r="AF104">
            <v>2</v>
          </cell>
          <cell r="AG104">
            <v>2001023.9625033536</v>
          </cell>
          <cell r="AH104">
            <v>69828.525937266415</v>
          </cell>
          <cell r="AI104">
            <v>3.4896396667788224E-2</v>
          </cell>
          <cell r="AK104">
            <v>4845.0943402018247</v>
          </cell>
          <cell r="AL104">
            <v>4990.0059962424575</v>
          </cell>
        </row>
        <row r="105">
          <cell r="A105">
            <v>3732349</v>
          </cell>
          <cell r="B105">
            <v>0</v>
          </cell>
          <cell r="C105">
            <v>0</v>
          </cell>
          <cell r="D105">
            <v>2349</v>
          </cell>
          <cell r="E105" t="str">
            <v>Shooter's Grove Primary School</v>
          </cell>
          <cell r="F105">
            <v>354</v>
          </cell>
          <cell r="G105">
            <v>1208155.4770678787</v>
          </cell>
          <cell r="H105">
            <v>33084.51366976901</v>
          </cell>
          <cell r="I105">
            <v>46229.345353100456</v>
          </cell>
          <cell r="J105">
            <v>39778.54428333939</v>
          </cell>
          <cell r="K105">
            <v>89381.75824175826</v>
          </cell>
          <cell r="L105">
            <v>7767.3786407767029</v>
          </cell>
          <cell r="M105">
            <v>1424397.0172566224</v>
          </cell>
          <cell r="N105">
            <v>121300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14756.721112607711</v>
          </cell>
          <cell r="U105">
            <v>14756.721112607711</v>
          </cell>
          <cell r="V105">
            <v>0</v>
          </cell>
          <cell r="W105">
            <v>0</v>
          </cell>
          <cell r="X105">
            <v>0</v>
          </cell>
          <cell r="Y105">
            <v>27405</v>
          </cell>
          <cell r="Z105">
            <v>1587858.7383692297</v>
          </cell>
          <cell r="AA105">
            <v>0</v>
          </cell>
          <cell r="AC105">
            <v>15</v>
          </cell>
          <cell r="AD105">
            <v>1461462.85641731</v>
          </cell>
          <cell r="AE105">
            <v>126395.88195191976</v>
          </cell>
          <cell r="AF105">
            <v>-11</v>
          </cell>
          <cell r="AG105">
            <v>1602957.6517799625</v>
          </cell>
          <cell r="AH105">
            <v>-15098.913410732755</v>
          </cell>
          <cell r="AI105">
            <v>-9.4194087997063192E-3</v>
          </cell>
          <cell r="AK105">
            <v>4391.6647993971574</v>
          </cell>
          <cell r="AL105">
            <v>4485.4766620599712</v>
          </cell>
        </row>
        <row r="106">
          <cell r="A106">
            <v>3732360</v>
          </cell>
          <cell r="B106">
            <v>0</v>
          </cell>
          <cell r="C106">
            <v>0</v>
          </cell>
          <cell r="D106">
            <v>2360</v>
          </cell>
          <cell r="E106" t="str">
            <v>Shortbrook Primary School</v>
          </cell>
          <cell r="F106">
            <v>88</v>
          </cell>
          <cell r="G106">
            <v>300332.43497732579</v>
          </cell>
          <cell r="H106">
            <v>20359.700719857872</v>
          </cell>
          <cell r="I106">
            <v>27165.697784811644</v>
          </cell>
          <cell r="J106">
            <v>20888.317942843525</v>
          </cell>
          <cell r="K106">
            <v>32603.278688524588</v>
          </cell>
          <cell r="L106">
            <v>1362.1917808219177</v>
          </cell>
          <cell r="M106">
            <v>402711.62189418537</v>
          </cell>
          <cell r="N106">
            <v>121300</v>
          </cell>
          <cell r="O106">
            <v>4366.0000000000291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99855.819235424016</v>
          </cell>
          <cell r="U106">
            <v>99855.819235424016</v>
          </cell>
          <cell r="V106">
            <v>0</v>
          </cell>
          <cell r="W106">
            <v>0</v>
          </cell>
          <cell r="X106">
            <v>0</v>
          </cell>
          <cell r="Y106">
            <v>13972</v>
          </cell>
          <cell r="Z106">
            <v>642205.44112960924</v>
          </cell>
          <cell r="AA106">
            <v>0</v>
          </cell>
          <cell r="AC106">
            <v>3</v>
          </cell>
          <cell r="AD106">
            <v>612141.06957315595</v>
          </cell>
          <cell r="AE106">
            <v>30064.37155645329</v>
          </cell>
          <cell r="AF106">
            <v>-3</v>
          </cell>
          <cell r="AG106">
            <v>649208.53233941132</v>
          </cell>
          <cell r="AH106">
            <v>-7003.0912098020781</v>
          </cell>
          <cell r="AI106">
            <v>-1.0787121334598861E-2</v>
          </cell>
          <cell r="AK106">
            <v>7134.1596960374873</v>
          </cell>
          <cell r="AL106">
            <v>7297.7891037455593</v>
          </cell>
        </row>
        <row r="107">
          <cell r="A107">
            <v>3732009</v>
          </cell>
          <cell r="B107" t="str">
            <v>Recoupment Academy</v>
          </cell>
          <cell r="C107">
            <v>0</v>
          </cell>
          <cell r="D107">
            <v>2009</v>
          </cell>
          <cell r="E107" t="str">
            <v>Southey Green Primary School and Nurseries</v>
          </cell>
          <cell r="F107">
            <v>605</v>
          </cell>
          <cell r="G107">
            <v>2064785.4904691146</v>
          </cell>
          <cell r="H107">
            <v>121431.07215058085</v>
          </cell>
          <cell r="I107">
            <v>167760.09860094206</v>
          </cell>
          <cell r="J107">
            <v>241111.28572394667</v>
          </cell>
          <cell r="K107">
            <v>271127.71855010663</v>
          </cell>
          <cell r="L107">
            <v>28485.416666666657</v>
          </cell>
          <cell r="M107">
            <v>2894701.0821613572</v>
          </cell>
          <cell r="N107">
            <v>121300</v>
          </cell>
          <cell r="O107">
            <v>10822.499999999996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35132.567867499994</v>
          </cell>
          <cell r="X107">
            <v>0</v>
          </cell>
          <cell r="Y107">
            <v>10742</v>
          </cell>
          <cell r="Z107">
            <v>3072698.1500288569</v>
          </cell>
          <cell r="AA107">
            <v>0</v>
          </cell>
          <cell r="AC107">
            <v>9</v>
          </cell>
          <cell r="AD107">
            <v>2841025.3096797802</v>
          </cell>
          <cell r="AE107">
            <v>231672.84034907678</v>
          </cell>
          <cell r="AF107">
            <v>-4</v>
          </cell>
          <cell r="AG107">
            <v>2979183.9974731831</v>
          </cell>
          <cell r="AH107">
            <v>93514.152555673849</v>
          </cell>
          <cell r="AI107">
            <v>3.138918329146121E-2</v>
          </cell>
          <cell r="AK107">
            <v>4891.9277462613845</v>
          </cell>
          <cell r="AL107">
            <v>5078.8399174030692</v>
          </cell>
        </row>
        <row r="108">
          <cell r="A108">
            <v>3732329</v>
          </cell>
          <cell r="B108">
            <v>0</v>
          </cell>
          <cell r="C108">
            <v>0</v>
          </cell>
          <cell r="D108">
            <v>2329</v>
          </cell>
          <cell r="E108" t="str">
            <v>Springfield Primary School</v>
          </cell>
          <cell r="F108">
            <v>209</v>
          </cell>
          <cell r="G108">
            <v>713289.53307114867</v>
          </cell>
          <cell r="H108">
            <v>33084.51366976904</v>
          </cell>
          <cell r="I108">
            <v>43369.79821785714</v>
          </cell>
          <cell r="J108">
            <v>35691.192929092111</v>
          </cell>
          <cell r="K108">
            <v>80850.990990990991</v>
          </cell>
          <cell r="L108">
            <v>74964.073033707828</v>
          </cell>
          <cell r="M108">
            <v>981250.10191256576</v>
          </cell>
          <cell r="N108">
            <v>121300</v>
          </cell>
          <cell r="O108">
            <v>8750.5000000000327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14097</v>
          </cell>
          <cell r="Z108">
            <v>1125397.6019125658</v>
          </cell>
          <cell r="AA108">
            <v>0</v>
          </cell>
          <cell r="AC108">
            <v>-11</v>
          </cell>
          <cell r="AD108">
            <v>963123.59791472706</v>
          </cell>
          <cell r="AE108">
            <v>162274.00399783871</v>
          </cell>
          <cell r="AF108">
            <v>3</v>
          </cell>
          <cell r="AG108">
            <v>1084705.8245364344</v>
          </cell>
          <cell r="AH108">
            <v>40691.777376131387</v>
          </cell>
          <cell r="AI108">
            <v>3.7514113463455991E-2</v>
          </cell>
          <cell r="AK108">
            <v>5265.5622550312346</v>
          </cell>
          <cell r="AL108">
            <v>5384.6775211127551</v>
          </cell>
        </row>
        <row r="109">
          <cell r="A109">
            <v>3735202</v>
          </cell>
          <cell r="B109" t="str">
            <v>Recoupment Academy</v>
          </cell>
          <cell r="C109">
            <v>0</v>
          </cell>
          <cell r="D109">
            <v>5202</v>
          </cell>
          <cell r="E109" t="str">
            <v>St Ann's Catholic Primary School, A Voluntary Academy</v>
          </cell>
          <cell r="F109">
            <v>92</v>
          </cell>
          <cell r="G109">
            <v>313983.90929447691</v>
          </cell>
          <cell r="H109">
            <v>4726.359095681295</v>
          </cell>
          <cell r="I109">
            <v>8578.6414057299662</v>
          </cell>
          <cell r="J109">
            <v>12510.306337036207</v>
          </cell>
          <cell r="K109">
            <v>20792.000000000004</v>
          </cell>
          <cell r="L109">
            <v>0</v>
          </cell>
          <cell r="M109">
            <v>360591.21613292437</v>
          </cell>
          <cell r="N109">
            <v>121300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14028.027300185642</v>
          </cell>
          <cell r="U109">
            <v>14028.027300185642</v>
          </cell>
          <cell r="V109">
            <v>0</v>
          </cell>
          <cell r="W109">
            <v>0</v>
          </cell>
          <cell r="X109">
            <v>0</v>
          </cell>
          <cell r="Y109">
            <v>2253</v>
          </cell>
          <cell r="Z109">
            <v>498172.24343311001</v>
          </cell>
          <cell r="AA109">
            <v>0</v>
          </cell>
          <cell r="AC109">
            <v>6</v>
          </cell>
          <cell r="AD109">
            <v>492498.43373391702</v>
          </cell>
          <cell r="AE109">
            <v>5673.8096991929924</v>
          </cell>
          <cell r="AF109">
            <v>-8</v>
          </cell>
          <cell r="AG109">
            <v>522763.41746918292</v>
          </cell>
          <cell r="AH109">
            <v>-24591.174036072916</v>
          </cell>
          <cell r="AI109">
            <v>-4.7040732412234207E-2</v>
          </cell>
          <cell r="AK109">
            <v>5227.6341746918297</v>
          </cell>
          <cell r="AL109">
            <v>5414.9156894903263</v>
          </cell>
        </row>
        <row r="110">
          <cell r="A110">
            <v>3733402</v>
          </cell>
          <cell r="B110" t="str">
            <v>Recoupment Academy</v>
          </cell>
          <cell r="C110">
            <v>0</v>
          </cell>
          <cell r="D110">
            <v>3402</v>
          </cell>
          <cell r="E110" t="str">
            <v>St Catherine's Catholic Primary School (Hallam)</v>
          </cell>
          <cell r="F110">
            <v>422</v>
          </cell>
          <cell r="G110">
            <v>1440230.5404594485</v>
          </cell>
          <cell r="H110">
            <v>50172.1196310784</v>
          </cell>
          <cell r="I110">
            <v>72918.451948704882</v>
          </cell>
          <cell r="J110">
            <v>128069.88702302141</v>
          </cell>
          <cell r="K110">
            <v>120239.77077363897</v>
          </cell>
          <cell r="L110">
            <v>82330.801104972386</v>
          </cell>
          <cell r="M110">
            <v>1893961.5709408645</v>
          </cell>
          <cell r="N110">
            <v>121300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8806</v>
          </cell>
          <cell r="Z110">
            <v>2024067.5709408645</v>
          </cell>
          <cell r="AA110">
            <v>0</v>
          </cell>
          <cell r="AC110">
            <v>-1</v>
          </cell>
          <cell r="AD110">
            <v>1845795.61244019</v>
          </cell>
          <cell r="AE110">
            <v>178271.95850067446</v>
          </cell>
          <cell r="AF110">
            <v>-2</v>
          </cell>
          <cell r="AG110">
            <v>1991950.2880797673</v>
          </cell>
          <cell r="AH110">
            <v>32117.28286109725</v>
          </cell>
          <cell r="AI110">
            <v>1.6123536341892442E-2</v>
          </cell>
          <cell r="AK110">
            <v>4697.9959624522817</v>
          </cell>
          <cell r="AL110">
            <v>4796.3686515186364</v>
          </cell>
        </row>
        <row r="111">
          <cell r="A111">
            <v>3732017</v>
          </cell>
          <cell r="B111" t="str">
            <v>Recoupment Academy</v>
          </cell>
          <cell r="C111">
            <v>0</v>
          </cell>
          <cell r="D111">
            <v>2017</v>
          </cell>
          <cell r="E111" t="str">
            <v>St John Fisher Primary, A Catholic Voluntary Academy</v>
          </cell>
          <cell r="F111">
            <v>210</v>
          </cell>
          <cell r="G111">
            <v>716702.40165043646</v>
          </cell>
          <cell r="H111">
            <v>13451.945118477515</v>
          </cell>
          <cell r="I111">
            <v>19063.647568288816</v>
          </cell>
          <cell r="J111">
            <v>27715.309734726037</v>
          </cell>
          <cell r="K111">
            <v>56202.631578947367</v>
          </cell>
          <cell r="L111">
            <v>7093.2065217391328</v>
          </cell>
          <cell r="M111">
            <v>840229.14217261551</v>
          </cell>
          <cell r="N111">
            <v>121300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6944.0295516843862</v>
          </cell>
          <cell r="U111">
            <v>6944.0295516843862</v>
          </cell>
          <cell r="V111">
            <v>0</v>
          </cell>
          <cell r="W111">
            <v>0</v>
          </cell>
          <cell r="X111">
            <v>0</v>
          </cell>
          <cell r="Y111">
            <v>3251</v>
          </cell>
          <cell r="Z111">
            <v>971724.1717242999</v>
          </cell>
          <cell r="AA111">
            <v>0</v>
          </cell>
          <cell r="AC111">
            <v>-2</v>
          </cell>
          <cell r="AD111">
            <v>861812.50143671304</v>
          </cell>
          <cell r="AE111">
            <v>109911.67028758687</v>
          </cell>
          <cell r="AF111">
            <v>-5</v>
          </cell>
          <cell r="AG111">
            <v>974888.41718351992</v>
          </cell>
          <cell r="AH111">
            <v>-3164.2454592200229</v>
          </cell>
          <cell r="AI111">
            <v>-3.2457514146712473E-3</v>
          </cell>
          <cell r="AK111">
            <v>4534.3647310861388</v>
          </cell>
          <cell r="AL111">
            <v>4627.2579605919045</v>
          </cell>
        </row>
        <row r="112">
          <cell r="A112">
            <v>3735203</v>
          </cell>
          <cell r="B112" t="str">
            <v>Recoupment Academy</v>
          </cell>
          <cell r="C112">
            <v>0</v>
          </cell>
          <cell r="D112">
            <v>5203</v>
          </cell>
          <cell r="E112" t="str">
            <v>St Joseph's Primary School</v>
          </cell>
          <cell r="F112">
            <v>204</v>
          </cell>
          <cell r="G112">
            <v>696225.19017470977</v>
          </cell>
          <cell r="H112">
            <v>10179.850359928918</v>
          </cell>
          <cell r="I112">
            <v>13821.144487009422</v>
          </cell>
          <cell r="J112">
            <v>27132.633497646901</v>
          </cell>
          <cell r="K112">
            <v>76377.108433734931</v>
          </cell>
          <cell r="L112">
            <v>16560.344827586181</v>
          </cell>
          <cell r="M112">
            <v>840296.27178061614</v>
          </cell>
          <cell r="N112">
            <v>121300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10724.861715347601</v>
          </cell>
          <cell r="U112">
            <v>10724.861715347601</v>
          </cell>
          <cell r="V112">
            <v>0</v>
          </cell>
          <cell r="W112">
            <v>0</v>
          </cell>
          <cell r="X112">
            <v>0</v>
          </cell>
          <cell r="Y112">
            <v>3046</v>
          </cell>
          <cell r="Z112">
            <v>975367.13349596353</v>
          </cell>
          <cell r="AA112">
            <v>0</v>
          </cell>
          <cell r="AC112">
            <v>-4</v>
          </cell>
          <cell r="AD112">
            <v>824923.40191248897</v>
          </cell>
          <cell r="AE112">
            <v>150443.73158347455</v>
          </cell>
          <cell r="AF112">
            <v>5</v>
          </cell>
          <cell r="AG112">
            <v>938231.47096158681</v>
          </cell>
          <cell r="AH112">
            <v>37135.662534376723</v>
          </cell>
          <cell r="AI112">
            <v>3.9580491258001234E-2</v>
          </cell>
          <cell r="AK112">
            <v>4714.7310098572198</v>
          </cell>
          <cell r="AL112">
            <v>4781.2114387057036</v>
          </cell>
        </row>
        <row r="113">
          <cell r="A113">
            <v>3733406</v>
          </cell>
          <cell r="B113" t="str">
            <v>Recoupment Academy</v>
          </cell>
          <cell r="C113">
            <v>0</v>
          </cell>
          <cell r="D113">
            <v>3406</v>
          </cell>
          <cell r="E113" t="str">
            <v>St Marie's School, A Catholic Voluntary Academy</v>
          </cell>
          <cell r="F113">
            <v>217</v>
          </cell>
          <cell r="G113">
            <v>740592.48170545103</v>
          </cell>
          <cell r="H113">
            <v>7271.3216856635281</v>
          </cell>
          <cell r="I113">
            <v>10485.00616255891</v>
          </cell>
          <cell r="J113">
            <v>14885.786512782222</v>
          </cell>
          <cell r="K113">
            <v>30988.076923076922</v>
          </cell>
          <cell r="L113">
            <v>19013.60962566841</v>
          </cell>
          <cell r="M113">
            <v>823236.28261520097</v>
          </cell>
          <cell r="N113">
            <v>121300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12879.642884395733</v>
          </cell>
          <cell r="U113">
            <v>12879.642884395733</v>
          </cell>
          <cell r="V113">
            <v>0</v>
          </cell>
          <cell r="W113">
            <v>0</v>
          </cell>
          <cell r="X113">
            <v>0</v>
          </cell>
          <cell r="Y113">
            <v>4915</v>
          </cell>
          <cell r="Z113">
            <v>962330.92549959675</v>
          </cell>
          <cell r="AA113">
            <v>0</v>
          </cell>
          <cell r="AC113">
            <v>52</v>
          </cell>
          <cell r="AD113">
            <v>1021086.65753858</v>
          </cell>
          <cell r="AE113">
            <v>-58755.73203898326</v>
          </cell>
          <cell r="AF113">
            <v>-28</v>
          </cell>
          <cell r="AG113">
            <v>1051707.2111475205</v>
          </cell>
          <cell r="AH113">
            <v>-89376.285647923709</v>
          </cell>
          <cell r="AI113">
            <v>-8.4982098345037504E-2</v>
          </cell>
          <cell r="AK113">
            <v>4292.6824944796754</v>
          </cell>
          <cell r="AL113">
            <v>4434.7047258045932</v>
          </cell>
        </row>
        <row r="114">
          <cell r="A114">
            <v>3732020</v>
          </cell>
          <cell r="B114" t="str">
            <v>Recoupment Academy</v>
          </cell>
          <cell r="C114">
            <v>0</v>
          </cell>
          <cell r="D114">
            <v>2020</v>
          </cell>
          <cell r="E114" t="str">
            <v>St Mary's Church of England Primary School</v>
          </cell>
          <cell r="F114">
            <v>197</v>
          </cell>
          <cell r="G114">
            <v>672335.11011969519</v>
          </cell>
          <cell r="H114">
            <v>21450.398972707408</v>
          </cell>
          <cell r="I114">
            <v>30501.836109262131</v>
          </cell>
          <cell r="J114">
            <v>32575.274534874461</v>
          </cell>
          <cell r="K114">
            <v>53857.258064516129</v>
          </cell>
          <cell r="L114">
            <v>29992.365269461035</v>
          </cell>
          <cell r="M114">
            <v>840712.24307051639</v>
          </cell>
          <cell r="N114">
            <v>121300</v>
          </cell>
          <cell r="O114">
            <v>16816.500000000022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2457</v>
          </cell>
          <cell r="Z114">
            <v>981285.74307051639</v>
          </cell>
          <cell r="AA114">
            <v>0</v>
          </cell>
          <cell r="AC114">
            <v>-26</v>
          </cell>
          <cell r="AD114">
            <v>771940.31079694699</v>
          </cell>
          <cell r="AE114">
            <v>209345.4322735694</v>
          </cell>
          <cell r="AF114">
            <v>6</v>
          </cell>
          <cell r="AG114">
            <v>928969.55962581595</v>
          </cell>
          <cell r="AH114">
            <v>52316.183444700437</v>
          </cell>
          <cell r="AI114">
            <v>5.6316359241925129E-2</v>
          </cell>
          <cell r="AK114">
            <v>4863.7149718629107</v>
          </cell>
          <cell r="AL114">
            <v>4981.1459039112506</v>
          </cell>
        </row>
        <row r="115">
          <cell r="A115">
            <v>3733423</v>
          </cell>
          <cell r="B115" t="str">
            <v>Recoupment Academy</v>
          </cell>
          <cell r="C115">
            <v>0</v>
          </cell>
          <cell r="D115">
            <v>3423</v>
          </cell>
          <cell r="E115" t="str">
            <v>St Mary's Primary School, A Catholic Voluntary Academy</v>
          </cell>
          <cell r="F115">
            <v>188</v>
          </cell>
          <cell r="G115">
            <v>641619.29290610505</v>
          </cell>
          <cell r="H115">
            <v>7634.887769946673</v>
          </cell>
          <cell r="I115">
            <v>10485.006162558904</v>
          </cell>
          <cell r="J115">
            <v>17960.140296386424</v>
          </cell>
          <cell r="K115">
            <v>45624.697986577179</v>
          </cell>
          <cell r="L115">
            <v>1295.3658536585351</v>
          </cell>
          <cell r="M115">
            <v>724619.39097523282</v>
          </cell>
          <cell r="N115">
            <v>121300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15839.491183297625</v>
          </cell>
          <cell r="U115">
            <v>15839.491183297625</v>
          </cell>
          <cell r="V115">
            <v>0</v>
          </cell>
          <cell r="W115">
            <v>0</v>
          </cell>
          <cell r="X115">
            <v>0</v>
          </cell>
          <cell r="Y115">
            <v>3533</v>
          </cell>
          <cell r="Z115">
            <v>865291.88215853064</v>
          </cell>
          <cell r="AA115">
            <v>0</v>
          </cell>
          <cell r="AC115">
            <v>4</v>
          </cell>
          <cell r="AD115">
            <v>780292.24628666101</v>
          </cell>
          <cell r="AE115">
            <v>84999.635871869628</v>
          </cell>
          <cell r="AF115">
            <v>0</v>
          </cell>
          <cell r="AG115">
            <v>850772.88054754212</v>
          </cell>
          <cell r="AH115">
            <v>14519.001610988518</v>
          </cell>
          <cell r="AI115">
            <v>1.7065661051213044E-2</v>
          </cell>
          <cell r="AK115">
            <v>4525.3876624869263</v>
          </cell>
          <cell r="AL115">
            <v>4602.6163944602695</v>
          </cell>
        </row>
        <row r="116">
          <cell r="A116">
            <v>3735207</v>
          </cell>
          <cell r="B116" t="str">
            <v>Recoupment Academy</v>
          </cell>
          <cell r="C116">
            <v>0</v>
          </cell>
          <cell r="D116">
            <v>5207</v>
          </cell>
          <cell r="E116" t="str">
            <v>St Patrick's Catholic Voluntary Academy</v>
          </cell>
          <cell r="F116">
            <v>279</v>
          </cell>
          <cell r="G116">
            <v>952190.33362129412</v>
          </cell>
          <cell r="H116">
            <v>29448.852826937262</v>
          </cell>
          <cell r="I116">
            <v>41940.024650235457</v>
          </cell>
          <cell r="J116">
            <v>90734.86629240957</v>
          </cell>
          <cell r="K116">
            <v>86971.034482758609</v>
          </cell>
          <cell r="L116">
            <v>32704.35684647306</v>
          </cell>
          <cell r="M116">
            <v>1233989.468720108</v>
          </cell>
          <cell r="N116">
            <v>121300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4224</v>
          </cell>
          <cell r="Z116">
            <v>1359513.468720108</v>
          </cell>
          <cell r="AA116">
            <v>0</v>
          </cell>
          <cell r="AC116">
            <v>1</v>
          </cell>
          <cell r="AD116">
            <v>1205042.65717734</v>
          </cell>
          <cell r="AE116">
            <v>154470.81154276803</v>
          </cell>
          <cell r="AF116">
            <v>-1</v>
          </cell>
          <cell r="AG116">
            <v>1318269.6668051288</v>
          </cell>
          <cell r="AH116">
            <v>41243.801914979238</v>
          </cell>
          <cell r="AI116">
            <v>3.1286316414254597E-2</v>
          </cell>
          <cell r="AK116">
            <v>4708.1059528754604</v>
          </cell>
          <cell r="AL116">
            <v>4872.8081316132902</v>
          </cell>
        </row>
        <row r="117">
          <cell r="A117">
            <v>3735208</v>
          </cell>
          <cell r="B117">
            <v>0</v>
          </cell>
          <cell r="C117">
            <v>0</v>
          </cell>
          <cell r="D117">
            <v>5208</v>
          </cell>
          <cell r="E117" t="str">
            <v>St Theresa's Catholic Primary School</v>
          </cell>
          <cell r="F117">
            <v>207</v>
          </cell>
          <cell r="G117">
            <v>706463.79591257311</v>
          </cell>
          <cell r="H117">
            <v>22177.531141273746</v>
          </cell>
          <cell r="I117">
            <v>32408.200866091047</v>
          </cell>
          <cell r="J117">
            <v>72647.932164182886</v>
          </cell>
          <cell r="K117">
            <v>76156.744186046519</v>
          </cell>
          <cell r="L117">
            <v>25108.983050847437</v>
          </cell>
          <cell r="M117">
            <v>934963.18732101482</v>
          </cell>
          <cell r="N117">
            <v>121300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3244</v>
          </cell>
          <cell r="Z117">
            <v>1059507.1873210147</v>
          </cell>
          <cell r="AA117">
            <v>0</v>
          </cell>
          <cell r="AC117">
            <v>0</v>
          </cell>
          <cell r="AD117">
            <v>950978.89315628202</v>
          </cell>
          <cell r="AE117">
            <v>108528.29416473268</v>
          </cell>
          <cell r="AF117">
            <v>0</v>
          </cell>
          <cell r="AG117">
            <v>1035686.5498257384</v>
          </cell>
          <cell r="AH117">
            <v>23820.637495276285</v>
          </cell>
          <cell r="AI117">
            <v>2.2999852126383485E-2</v>
          </cell>
          <cell r="AK117">
            <v>5003.3166658248228</v>
          </cell>
          <cell r="AL117">
            <v>5118.3922092802641</v>
          </cell>
        </row>
        <row r="118">
          <cell r="A118">
            <v>3733424</v>
          </cell>
          <cell r="B118" t="str">
            <v>Recoupment Academy</v>
          </cell>
          <cell r="C118">
            <v>0</v>
          </cell>
          <cell r="D118">
            <v>3424</v>
          </cell>
          <cell r="E118" t="str">
            <v>St Thomas More Catholic Primary, A Voluntary Academy</v>
          </cell>
          <cell r="F118">
            <v>209</v>
          </cell>
          <cell r="G118">
            <v>713289.53307114867</v>
          </cell>
          <cell r="H118">
            <v>13451.945118477564</v>
          </cell>
          <cell r="I118">
            <v>19063.647568288819</v>
          </cell>
          <cell r="J118">
            <v>47413.799975981841</v>
          </cell>
          <cell r="K118">
            <v>55414.189944134079</v>
          </cell>
          <cell r="L118">
            <v>9235.6983240223453</v>
          </cell>
          <cell r="M118">
            <v>857868.81400205335</v>
          </cell>
          <cell r="N118">
            <v>121300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2816</v>
          </cell>
          <cell r="Z118">
            <v>981984.81400205335</v>
          </cell>
          <cell r="AA118">
            <v>0</v>
          </cell>
          <cell r="AC118">
            <v>-3</v>
          </cell>
          <cell r="AD118">
            <v>857267.67929771903</v>
          </cell>
          <cell r="AE118">
            <v>124717.13470433431</v>
          </cell>
          <cell r="AF118">
            <v>-2</v>
          </cell>
          <cell r="AG118">
            <v>972938.53706490318</v>
          </cell>
          <cell r="AH118">
            <v>9046.2769371501636</v>
          </cell>
          <cell r="AI118">
            <v>9.2978914828889137E-3</v>
          </cell>
          <cell r="AK118">
            <v>4611.0831140516739</v>
          </cell>
          <cell r="AL118">
            <v>4698.4919330241783</v>
          </cell>
        </row>
        <row r="119">
          <cell r="A119">
            <v>3733414</v>
          </cell>
          <cell r="B119" t="str">
            <v>Recoupment Academy</v>
          </cell>
          <cell r="C119">
            <v>0</v>
          </cell>
          <cell r="D119">
            <v>3414</v>
          </cell>
          <cell r="E119" t="str">
            <v>St Thomas of Canterbury School, a Catholic Voluntary Academy</v>
          </cell>
          <cell r="F119">
            <v>211</v>
          </cell>
          <cell r="G119">
            <v>720115.27022972424</v>
          </cell>
          <cell r="H119">
            <v>10906.982528495304</v>
          </cell>
          <cell r="I119">
            <v>15250.918054631104</v>
          </cell>
          <cell r="J119">
            <v>19184.943225403556</v>
          </cell>
          <cell r="K119">
            <v>32513.181818181816</v>
          </cell>
          <cell r="L119">
            <v>6623.0555555555611</v>
          </cell>
          <cell r="M119">
            <v>804594.3514119914</v>
          </cell>
          <cell r="N119">
            <v>121300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3806.3527774581789</v>
          </cell>
          <cell r="U119">
            <v>3806.3527774581789</v>
          </cell>
          <cell r="V119">
            <v>0</v>
          </cell>
          <cell r="W119">
            <v>0</v>
          </cell>
          <cell r="X119">
            <v>0</v>
          </cell>
          <cell r="Y119">
            <v>3763</v>
          </cell>
          <cell r="Z119">
            <v>933463.70418944978</v>
          </cell>
          <cell r="AA119">
            <v>0</v>
          </cell>
          <cell r="AC119">
            <v>-2</v>
          </cell>
          <cell r="AD119">
            <v>819606.83739050804</v>
          </cell>
          <cell r="AE119">
            <v>113856.86679894174</v>
          </cell>
          <cell r="AF119">
            <v>4</v>
          </cell>
          <cell r="AG119">
            <v>902588.27093766746</v>
          </cell>
          <cell r="AH119">
            <v>30875.43325178232</v>
          </cell>
          <cell r="AI119">
            <v>3.4207660619949017E-2</v>
          </cell>
          <cell r="AK119">
            <v>4360.3298112930797</v>
          </cell>
          <cell r="AL119">
            <v>4423.9985980542642</v>
          </cell>
        </row>
        <row r="120">
          <cell r="A120">
            <v>3733412</v>
          </cell>
          <cell r="B120" t="str">
            <v>Recoupment Academy</v>
          </cell>
          <cell r="C120">
            <v>0</v>
          </cell>
          <cell r="D120">
            <v>3412</v>
          </cell>
          <cell r="E120" t="str">
            <v>St Wilfrid's Catholic Primary School</v>
          </cell>
          <cell r="F120">
            <v>307</v>
          </cell>
          <cell r="G120">
            <v>1047750.6538413523</v>
          </cell>
          <cell r="H120">
            <v>3999.2269271149357</v>
          </cell>
          <cell r="I120">
            <v>5242.5030812794303</v>
          </cell>
          <cell r="J120">
            <v>8800.0294004326752</v>
          </cell>
          <cell r="K120">
            <v>18396.742424242424</v>
          </cell>
          <cell r="L120">
            <v>5236.377358490563</v>
          </cell>
          <cell r="M120">
            <v>1089425.5330329123</v>
          </cell>
          <cell r="N120">
            <v>121300</v>
          </cell>
          <cell r="O120">
            <v>0</v>
          </cell>
          <cell r="P120">
            <v>98629.466967087661</v>
          </cell>
          <cell r="Q120">
            <v>98629.466967087661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4506</v>
          </cell>
          <cell r="Z120">
            <v>1313861</v>
          </cell>
          <cell r="AA120">
            <v>0</v>
          </cell>
          <cell r="AC120">
            <v>3</v>
          </cell>
          <cell r="AD120">
            <v>1162500</v>
          </cell>
          <cell r="AE120">
            <v>151361</v>
          </cell>
          <cell r="AF120">
            <v>-5</v>
          </cell>
          <cell r="AG120">
            <v>1308102.0000000005</v>
          </cell>
          <cell r="AH120">
            <v>5758.9999999995343</v>
          </cell>
          <cell r="AI120">
            <v>4.4025618797307337E-3</v>
          </cell>
          <cell r="AK120">
            <v>4192.6346153846171</v>
          </cell>
          <cell r="AL120">
            <v>4279.677524429967</v>
          </cell>
        </row>
        <row r="121">
          <cell r="A121">
            <v>3732294</v>
          </cell>
          <cell r="B121" t="str">
            <v>Recoupment Academy</v>
          </cell>
          <cell r="C121">
            <v>0</v>
          </cell>
          <cell r="D121">
            <v>2294</v>
          </cell>
          <cell r="E121" t="str">
            <v>Stannington Infant School</v>
          </cell>
          <cell r="F121">
            <v>181</v>
          </cell>
          <cell r="G121">
            <v>617729.21285109047</v>
          </cell>
          <cell r="H121">
            <v>7634.8877699467184</v>
          </cell>
          <cell r="I121">
            <v>10008.41497335167</v>
          </cell>
          <cell r="J121">
            <v>5487.9950310250297</v>
          </cell>
          <cell r="K121">
            <v>59514.735239384187</v>
          </cell>
          <cell r="L121">
            <v>845.16528925619889</v>
          </cell>
          <cell r="M121">
            <v>701220.41115405434</v>
          </cell>
          <cell r="N121">
            <v>121300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1894</v>
          </cell>
          <cell r="Z121">
            <v>824414.41115405434</v>
          </cell>
          <cell r="AA121">
            <v>0</v>
          </cell>
          <cell r="AC121">
            <v>-1</v>
          </cell>
          <cell r="AD121">
            <v>727605.05532168096</v>
          </cell>
          <cell r="AE121">
            <v>96809.355832373374</v>
          </cell>
          <cell r="AF121">
            <v>0</v>
          </cell>
          <cell r="AG121">
            <v>802226.37994732801</v>
          </cell>
          <cell r="AH121">
            <v>22188.031206726329</v>
          </cell>
          <cell r="AI121">
            <v>2.7658067300383633E-2</v>
          </cell>
          <cell r="AK121">
            <v>4432.189944460376</v>
          </cell>
          <cell r="AL121">
            <v>4554.7757522323445</v>
          </cell>
        </row>
        <row r="122">
          <cell r="A122">
            <v>3732303</v>
          </cell>
          <cell r="B122">
            <v>0</v>
          </cell>
          <cell r="C122">
            <v>0</v>
          </cell>
          <cell r="D122">
            <v>2303</v>
          </cell>
          <cell r="E122" t="str">
            <v>Stocksbridge Junior School</v>
          </cell>
          <cell r="F122">
            <v>308</v>
          </cell>
          <cell r="G122">
            <v>1051163.5224206401</v>
          </cell>
          <cell r="H122">
            <v>29085.286742654142</v>
          </cell>
          <cell r="I122">
            <v>41463.433461028202</v>
          </cell>
          <cell r="J122">
            <v>40621.251561080877</v>
          </cell>
          <cell r="K122">
            <v>110118.89145496534</v>
          </cell>
          <cell r="L122">
            <v>2260.0000000000027</v>
          </cell>
          <cell r="M122">
            <v>1274712.3856403686</v>
          </cell>
          <cell r="N122">
            <v>121300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11627.913671189122</v>
          </cell>
          <cell r="U122">
            <v>11627.913671189122</v>
          </cell>
          <cell r="V122">
            <v>0</v>
          </cell>
          <cell r="W122">
            <v>0</v>
          </cell>
          <cell r="X122">
            <v>0</v>
          </cell>
          <cell r="Y122">
            <v>20584</v>
          </cell>
          <cell r="Z122">
            <v>1428224.2993115573</v>
          </cell>
          <cell r="AA122">
            <v>0</v>
          </cell>
          <cell r="AC122">
            <v>61</v>
          </cell>
          <cell r="AD122">
            <v>1485175.9785463701</v>
          </cell>
          <cell r="AE122">
            <v>-56951.679234812735</v>
          </cell>
          <cell r="AF122">
            <v>-25</v>
          </cell>
          <cell r="AG122">
            <v>1505365.1596979243</v>
          </cell>
          <cell r="AH122">
            <v>-77140.860386366956</v>
          </cell>
          <cell r="AI122">
            <v>-5.124395226593826E-2</v>
          </cell>
          <cell r="AK122">
            <v>4520.6160951889615</v>
          </cell>
          <cell r="AL122">
            <v>4637.0918808816796</v>
          </cell>
        </row>
        <row r="123">
          <cell r="A123">
            <v>3732302</v>
          </cell>
          <cell r="B123">
            <v>0</v>
          </cell>
          <cell r="C123">
            <v>0</v>
          </cell>
          <cell r="D123">
            <v>2302</v>
          </cell>
          <cell r="E123" t="str">
            <v>Stocksbridge Nursery Infant School</v>
          </cell>
          <cell r="F123">
            <v>194</v>
          </cell>
          <cell r="G123">
            <v>662096.50438183174</v>
          </cell>
          <cell r="H123">
            <v>18905.436382725169</v>
          </cell>
          <cell r="I123">
            <v>24782.741838775517</v>
          </cell>
          <cell r="J123">
            <v>22531.638666486011</v>
          </cell>
          <cell r="K123">
            <v>63789.274234478085</v>
          </cell>
          <cell r="L123">
            <v>921.09243697478928</v>
          </cell>
          <cell r="M123">
            <v>793026.68794127135</v>
          </cell>
          <cell r="N123">
            <v>121300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5205.0765334713205</v>
          </cell>
          <cell r="U123">
            <v>5205.0765334713205</v>
          </cell>
          <cell r="V123">
            <v>0</v>
          </cell>
          <cell r="W123">
            <v>0</v>
          </cell>
          <cell r="X123">
            <v>0</v>
          </cell>
          <cell r="Y123">
            <v>16342</v>
          </cell>
          <cell r="Z123">
            <v>935873.76447474246</v>
          </cell>
          <cell r="AA123">
            <v>0</v>
          </cell>
          <cell r="AC123">
            <v>15</v>
          </cell>
          <cell r="AD123">
            <v>857960.027186063</v>
          </cell>
          <cell r="AE123">
            <v>77913.737288679462</v>
          </cell>
          <cell r="AF123">
            <v>6</v>
          </cell>
          <cell r="AG123">
            <v>896018.90110791777</v>
          </cell>
          <cell r="AH123">
            <v>39854.863366824691</v>
          </cell>
          <cell r="AI123">
            <v>4.4479935989681224E-2</v>
          </cell>
          <cell r="AK123">
            <v>4766.0579846165838</v>
          </cell>
          <cell r="AL123">
            <v>4824.0915694574351</v>
          </cell>
        </row>
        <row r="124">
          <cell r="A124">
            <v>3732350</v>
          </cell>
          <cell r="B124">
            <v>0</v>
          </cell>
          <cell r="C124">
            <v>0</v>
          </cell>
          <cell r="D124">
            <v>2350</v>
          </cell>
          <cell r="E124" t="str">
            <v>Stradbroke Primary School</v>
          </cell>
          <cell r="F124">
            <v>412</v>
          </cell>
          <cell r="G124">
            <v>1406101.8546665707</v>
          </cell>
          <cell r="H124">
            <v>68713.989929520365</v>
          </cell>
          <cell r="I124">
            <v>95794.829030651556</v>
          </cell>
          <cell r="J124">
            <v>115937.71617530385</v>
          </cell>
          <cell r="K124">
            <v>197630.88319088318</v>
          </cell>
          <cell r="L124">
            <v>11210.368271954676</v>
          </cell>
          <cell r="M124">
            <v>1895389.641264884</v>
          </cell>
          <cell r="N124">
            <v>121300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29754</v>
          </cell>
          <cell r="Z124">
            <v>2046443.641264884</v>
          </cell>
          <cell r="AA124">
            <v>0</v>
          </cell>
          <cell r="AC124">
            <v>5</v>
          </cell>
          <cell r="AD124">
            <v>1808739.56894267</v>
          </cell>
          <cell r="AE124">
            <v>237704.07232221402</v>
          </cell>
          <cell r="AF124">
            <v>-5</v>
          </cell>
          <cell r="AG124">
            <v>2000441.541826973</v>
          </cell>
          <cell r="AH124">
            <v>46002.099437911063</v>
          </cell>
          <cell r="AI124">
            <v>2.2995972877016962E-2</v>
          </cell>
          <cell r="AK124">
            <v>4797.2219228464583</v>
          </cell>
          <cell r="AL124">
            <v>4967.0962166623403</v>
          </cell>
        </row>
        <row r="125">
          <cell r="A125">
            <v>3732230</v>
          </cell>
          <cell r="B125" t="str">
            <v>Recoupment Academy</v>
          </cell>
          <cell r="C125">
            <v>0</v>
          </cell>
          <cell r="D125">
            <v>2230</v>
          </cell>
          <cell r="E125" t="str">
            <v>Tinsley Meadows Primary School</v>
          </cell>
          <cell r="F125">
            <v>543</v>
          </cell>
          <cell r="G125">
            <v>1853187.6385532715</v>
          </cell>
          <cell r="H125">
            <v>84347.331553696931</v>
          </cell>
          <cell r="I125">
            <v>115811.6589773548</v>
          </cell>
          <cell r="J125">
            <v>132166.12068257562</v>
          </cell>
          <cell r="K125">
            <v>187800.63324538257</v>
          </cell>
          <cell r="L125">
            <v>137302.25910064249</v>
          </cell>
          <cell r="M125">
            <v>2510615.6421129238</v>
          </cell>
          <cell r="N125">
            <v>121300</v>
          </cell>
          <cell r="O125">
            <v>13338.500000000002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2720</v>
          </cell>
          <cell r="Z125">
            <v>2647974.1421129238</v>
          </cell>
          <cell r="AA125">
            <v>0</v>
          </cell>
          <cell r="AC125">
            <v>-18</v>
          </cell>
          <cell r="AD125">
            <v>2339078.6511577801</v>
          </cell>
          <cell r="AE125">
            <v>308895.4909551437</v>
          </cell>
          <cell r="AF125">
            <v>7</v>
          </cell>
          <cell r="AG125">
            <v>2530145.969411273</v>
          </cell>
          <cell r="AH125">
            <v>117828.17270165076</v>
          </cell>
          <cell r="AI125">
            <v>4.65697134181818E-2</v>
          </cell>
          <cell r="AK125">
            <v>4720.4215847225241</v>
          </cell>
          <cell r="AL125">
            <v>4876.5637976296939</v>
          </cell>
        </row>
        <row r="126">
          <cell r="A126">
            <v>3735206</v>
          </cell>
          <cell r="B126" t="str">
            <v>Recoupment Academy</v>
          </cell>
          <cell r="C126">
            <v>0</v>
          </cell>
          <cell r="D126">
            <v>5206</v>
          </cell>
          <cell r="E126" t="str">
            <v>Totley All Saints Church of England Voluntary Aided Primary School</v>
          </cell>
          <cell r="F126">
            <v>214</v>
          </cell>
          <cell r="G126">
            <v>730353.87596758769</v>
          </cell>
          <cell r="H126">
            <v>5453.4912642476438</v>
          </cell>
          <cell r="I126">
            <v>7625.4590273155436</v>
          </cell>
          <cell r="J126">
            <v>2786.0085871873107</v>
          </cell>
          <cell r="K126">
            <v>53737.777777777774</v>
          </cell>
          <cell r="L126">
            <v>5228.5405405405354</v>
          </cell>
          <cell r="M126">
            <v>805185.15316465648</v>
          </cell>
          <cell r="N126">
            <v>121300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4473.0499588112607</v>
          </cell>
          <cell r="U126">
            <v>4473.0499588112607</v>
          </cell>
          <cell r="V126">
            <v>0</v>
          </cell>
          <cell r="W126">
            <v>0</v>
          </cell>
          <cell r="X126">
            <v>0</v>
          </cell>
          <cell r="Y126">
            <v>3277</v>
          </cell>
          <cell r="Z126">
            <v>934235.20312346797</v>
          </cell>
          <cell r="AA126">
            <v>0</v>
          </cell>
          <cell r="AC126">
            <v>-5</v>
          </cell>
          <cell r="AD126">
            <v>787718.89947910805</v>
          </cell>
          <cell r="AE126">
            <v>146516.30364435993</v>
          </cell>
          <cell r="AF126">
            <v>1</v>
          </cell>
          <cell r="AG126">
            <v>914650.08781974006</v>
          </cell>
          <cell r="AH126">
            <v>19585.115303727915</v>
          </cell>
          <cell r="AI126">
            <v>2.1412686189549422E-2</v>
          </cell>
          <cell r="AK126">
            <v>4294.1318676983101</v>
          </cell>
          <cell r="AL126">
            <v>4365.5850613246166</v>
          </cell>
        </row>
        <row r="127">
          <cell r="A127">
            <v>3732203</v>
          </cell>
          <cell r="B127" t="str">
            <v>Recoupment Academy</v>
          </cell>
          <cell r="C127">
            <v>0</v>
          </cell>
          <cell r="D127">
            <v>2203</v>
          </cell>
          <cell r="E127" t="str">
            <v>Totley Primary School</v>
          </cell>
          <cell r="F127">
            <v>399</v>
          </cell>
          <cell r="G127">
            <v>1361734.5631358293</v>
          </cell>
          <cell r="H127">
            <v>13451.945118477524</v>
          </cell>
          <cell r="I127">
            <v>19063.647568288856</v>
          </cell>
          <cell r="J127">
            <v>2299.5438766418033</v>
          </cell>
          <cell r="K127">
            <v>74700.3550295858</v>
          </cell>
          <cell r="L127">
            <v>14716.824925816029</v>
          </cell>
          <cell r="M127">
            <v>1485966.8796546394</v>
          </cell>
          <cell r="N127">
            <v>121300</v>
          </cell>
          <cell r="O127">
            <v>0</v>
          </cell>
          <cell r="P127">
            <v>94468.120345360512</v>
          </cell>
          <cell r="Q127">
            <v>94468.120345360512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3405</v>
          </cell>
          <cell r="Z127">
            <v>1705140</v>
          </cell>
          <cell r="AA127">
            <v>0</v>
          </cell>
          <cell r="AC127">
            <v>-89</v>
          </cell>
          <cell r="AD127">
            <v>1162500</v>
          </cell>
          <cell r="AE127">
            <v>542640</v>
          </cell>
          <cell r="AF127">
            <v>33</v>
          </cell>
          <cell r="AG127">
            <v>1533197.9999999995</v>
          </cell>
          <cell r="AH127">
            <v>171942.00000000047</v>
          </cell>
          <cell r="AI127">
            <v>0.1121459850586816</v>
          </cell>
          <cell r="AK127">
            <v>4189.0655737704901</v>
          </cell>
          <cell r="AL127">
            <v>4273.5338345864666</v>
          </cell>
        </row>
        <row r="128">
          <cell r="A128">
            <v>3732351</v>
          </cell>
          <cell r="B128">
            <v>0</v>
          </cell>
          <cell r="C128">
            <v>0</v>
          </cell>
          <cell r="D128">
            <v>2351</v>
          </cell>
          <cell r="E128" t="str">
            <v>Walkley Primary School</v>
          </cell>
          <cell r="F128">
            <v>345</v>
          </cell>
          <cell r="G128">
            <v>1177439.6598542884</v>
          </cell>
          <cell r="H128">
            <v>35265.910175468111</v>
          </cell>
          <cell r="I128">
            <v>46705.936542307754</v>
          </cell>
          <cell r="J128">
            <v>50735.030806450814</v>
          </cell>
          <cell r="K128">
            <v>105175.35971223022</v>
          </cell>
          <cell r="L128">
            <v>25808.885017421606</v>
          </cell>
          <cell r="M128">
            <v>1441130.782108167</v>
          </cell>
          <cell r="N128">
            <v>121300</v>
          </cell>
          <cell r="O128">
            <v>1202.5000000000043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34923.42990905539</v>
          </cell>
          <cell r="U128">
            <v>34923.42990905539</v>
          </cell>
          <cell r="V128">
            <v>0</v>
          </cell>
          <cell r="W128">
            <v>0</v>
          </cell>
          <cell r="X128">
            <v>0</v>
          </cell>
          <cell r="Y128">
            <v>22954</v>
          </cell>
          <cell r="Z128">
            <v>1621510.7120172228</v>
          </cell>
          <cell r="AA128">
            <v>0</v>
          </cell>
          <cell r="AC128">
            <v>-39</v>
          </cell>
          <cell r="AD128">
            <v>1367263.6496953601</v>
          </cell>
          <cell r="AE128">
            <v>254247.06232186267</v>
          </cell>
          <cell r="AF128">
            <v>2</v>
          </cell>
          <cell r="AG128">
            <v>1607275.0048930077</v>
          </cell>
          <cell r="AH128">
            <v>14235.707124215085</v>
          </cell>
          <cell r="AI128">
            <v>8.8570450488419817E-3</v>
          </cell>
          <cell r="AK128">
            <v>4685.9329588717428</v>
          </cell>
          <cell r="AL128">
            <v>4700.0310493252837</v>
          </cell>
        </row>
        <row r="129">
          <cell r="A129">
            <v>3733432</v>
          </cell>
          <cell r="B129">
            <v>0</v>
          </cell>
          <cell r="C129">
            <v>0</v>
          </cell>
          <cell r="D129">
            <v>3432</v>
          </cell>
          <cell r="E129" t="str">
            <v>Watercliffe Meadow Community Primary School</v>
          </cell>
          <cell r="F129">
            <v>407</v>
          </cell>
          <cell r="G129">
            <v>1389037.5117701315</v>
          </cell>
          <cell r="H129">
            <v>76348.877699467062</v>
          </cell>
          <cell r="I129">
            <v>105326.65281479598</v>
          </cell>
          <cell r="J129">
            <v>150375.14156476551</v>
          </cell>
          <cell r="K129">
            <v>180025.93272171254</v>
          </cell>
          <cell r="L129">
            <v>21868.919308357345</v>
          </cell>
          <cell r="M129">
            <v>1922983.0358792301</v>
          </cell>
          <cell r="N129">
            <v>121300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46458</v>
          </cell>
          <cell r="Z129">
            <v>2090741.0358792301</v>
          </cell>
          <cell r="AA129">
            <v>0</v>
          </cell>
          <cell r="AC129">
            <v>13</v>
          </cell>
          <cell r="AD129">
            <v>1886822.07452753</v>
          </cell>
          <cell r="AE129">
            <v>203918.96135170013</v>
          </cell>
          <cell r="AF129">
            <v>-7</v>
          </cell>
          <cell r="AG129">
            <v>2058854.3617419717</v>
          </cell>
          <cell r="AH129">
            <v>31886.674137258437</v>
          </cell>
          <cell r="AI129">
            <v>1.5487581214962435E-2</v>
          </cell>
          <cell r="AK129">
            <v>4973.0781684588692</v>
          </cell>
          <cell r="AL129">
            <v>5136.955862111131</v>
          </cell>
        </row>
        <row r="130">
          <cell r="A130">
            <v>3732319</v>
          </cell>
          <cell r="B130">
            <v>0</v>
          </cell>
          <cell r="C130">
            <v>0</v>
          </cell>
          <cell r="D130">
            <v>2319</v>
          </cell>
          <cell r="E130" t="str">
            <v>Waterthorpe Infant School</v>
          </cell>
          <cell r="F130">
            <v>124</v>
          </cell>
          <cell r="G130">
            <v>423195.70383168629</v>
          </cell>
          <cell r="H130">
            <v>14179.07728704388</v>
          </cell>
          <cell r="I130">
            <v>18587.056379081638</v>
          </cell>
          <cell r="J130">
            <v>15172.128170260452</v>
          </cell>
          <cell r="K130">
            <v>40772.525799357129</v>
          </cell>
          <cell r="L130">
            <v>2443.9534883720958</v>
          </cell>
          <cell r="M130">
            <v>514350.44495580142</v>
          </cell>
          <cell r="N130">
            <v>121300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17103.699200770403</v>
          </cell>
          <cell r="U130">
            <v>17103.699200770403</v>
          </cell>
          <cell r="V130">
            <v>0</v>
          </cell>
          <cell r="W130">
            <v>0</v>
          </cell>
          <cell r="X130">
            <v>0</v>
          </cell>
          <cell r="Y130">
            <v>16966</v>
          </cell>
          <cell r="Z130">
            <v>669720.14415657171</v>
          </cell>
          <cell r="AA130">
            <v>0</v>
          </cell>
          <cell r="AC130">
            <v>13</v>
          </cell>
          <cell r="AD130">
            <v>628306.98306595394</v>
          </cell>
          <cell r="AE130">
            <v>41413.161090617767</v>
          </cell>
          <cell r="AF130">
            <v>-4</v>
          </cell>
          <cell r="AG130">
            <v>676107.00610398955</v>
          </cell>
          <cell r="AH130">
            <v>-6386.8619474178413</v>
          </cell>
          <cell r="AI130">
            <v>-9.446525312940629E-3</v>
          </cell>
          <cell r="AK130">
            <v>5282.0859851874184</v>
          </cell>
          <cell r="AL130">
            <v>5400.9689044884817</v>
          </cell>
        </row>
        <row r="131">
          <cell r="A131">
            <v>3732352</v>
          </cell>
          <cell r="B131">
            <v>0</v>
          </cell>
          <cell r="C131">
            <v>0</v>
          </cell>
          <cell r="D131">
            <v>2352</v>
          </cell>
          <cell r="E131" t="str">
            <v>Westways Primary School</v>
          </cell>
          <cell r="F131">
            <v>572</v>
          </cell>
          <cell r="G131">
            <v>1952160.8273526174</v>
          </cell>
          <cell r="H131">
            <v>33448.079754052262</v>
          </cell>
          <cell r="I131">
            <v>47659.118920722212</v>
          </cell>
          <cell r="J131">
            <v>33330.002136530115</v>
          </cell>
          <cell r="K131">
            <v>124826.13756613755</v>
          </cell>
          <cell r="L131">
            <v>62124.580777096206</v>
          </cell>
          <cell r="M131">
            <v>2253548.7465071557</v>
          </cell>
          <cell r="N131">
            <v>121300</v>
          </cell>
          <cell r="O131">
            <v>14503.999999999991</v>
          </cell>
          <cell r="P131">
            <v>50227.253492844371</v>
          </cell>
          <cell r="Q131">
            <v>50227.253492844371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32364</v>
          </cell>
          <cell r="Z131">
            <v>2471944</v>
          </cell>
          <cell r="AA131">
            <v>0</v>
          </cell>
          <cell r="AC131">
            <v>2</v>
          </cell>
          <cell r="AD131">
            <v>2182972.75</v>
          </cell>
          <cell r="AE131">
            <v>288971.25</v>
          </cell>
          <cell r="AF131">
            <v>2</v>
          </cell>
          <cell r="AG131">
            <v>2414964</v>
          </cell>
          <cell r="AH131">
            <v>56980</v>
          </cell>
          <cell r="AI131">
            <v>2.3594554618619572E-2</v>
          </cell>
          <cell r="AK131">
            <v>4236.7789473684206</v>
          </cell>
          <cell r="AL131">
            <v>4321.5804195804194</v>
          </cell>
        </row>
        <row r="132">
          <cell r="A132">
            <v>3732311</v>
          </cell>
          <cell r="B132" t="str">
            <v>Recoupment Academy</v>
          </cell>
          <cell r="C132">
            <v>0</v>
          </cell>
          <cell r="D132">
            <v>2311</v>
          </cell>
          <cell r="E132" t="str">
            <v>Wharncliffe Side Primary School</v>
          </cell>
          <cell r="F132">
            <v>141</v>
          </cell>
          <cell r="G132">
            <v>481214.46967957879</v>
          </cell>
          <cell r="H132">
            <v>13451.945118477503</v>
          </cell>
          <cell r="I132">
            <v>18110.465189874434</v>
          </cell>
          <cell r="J132">
            <v>19254.772446630472</v>
          </cell>
          <cell r="K132">
            <v>66815.806451612909</v>
          </cell>
          <cell r="L132">
            <v>642.45967741935499</v>
          </cell>
          <cell r="M132">
            <v>599489.91856359364</v>
          </cell>
          <cell r="N132">
            <v>121300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3101.7356475300394</v>
          </cell>
          <cell r="Y132">
            <v>3251</v>
          </cell>
          <cell r="Z132">
            <v>727142.65421112371</v>
          </cell>
          <cell r="AA132">
            <v>0</v>
          </cell>
          <cell r="AC132">
            <v>5</v>
          </cell>
          <cell r="AD132">
            <v>676373.38711872196</v>
          </cell>
          <cell r="AE132">
            <v>50769.267092401744</v>
          </cell>
          <cell r="AF132">
            <v>7</v>
          </cell>
          <cell r="AG132">
            <v>675813.22762233019</v>
          </cell>
          <cell r="AH132">
            <v>51329.426588793518</v>
          </cell>
          <cell r="AI132">
            <v>7.5952089261973318E-2</v>
          </cell>
          <cell r="AK132">
            <v>5043.3822956890317</v>
          </cell>
          <cell r="AL132">
            <v>5157.040100788111</v>
          </cell>
        </row>
        <row r="133">
          <cell r="A133">
            <v>3732040</v>
          </cell>
          <cell r="B133" t="str">
            <v>Recoupment Academy</v>
          </cell>
          <cell r="C133">
            <v>0</v>
          </cell>
          <cell r="D133">
            <v>2040</v>
          </cell>
          <cell r="E133" t="str">
            <v>Whiteways Primary School</v>
          </cell>
          <cell r="F133">
            <v>408</v>
          </cell>
          <cell r="G133">
            <v>1392450.3803494195</v>
          </cell>
          <cell r="H133">
            <v>74531.047278051177</v>
          </cell>
          <cell r="I133">
            <v>100084.1497335165</v>
          </cell>
          <cell r="J133">
            <v>120725.62747615401</v>
          </cell>
          <cell r="K133">
            <v>240155.88424437301</v>
          </cell>
          <cell r="L133">
            <v>111109.36288088643</v>
          </cell>
          <cell r="M133">
            <v>2039056.4519624007</v>
          </cell>
          <cell r="N133">
            <v>121300</v>
          </cell>
          <cell r="O133">
            <v>3774.0000000000032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7270</v>
          </cell>
          <cell r="Z133">
            <v>2171400.4519624007</v>
          </cell>
          <cell r="AA133">
            <v>0</v>
          </cell>
          <cell r="AC133">
            <v>38</v>
          </cell>
          <cell r="AD133">
            <v>2162400.0425530998</v>
          </cell>
          <cell r="AE133">
            <v>9000.4094093008898</v>
          </cell>
          <cell r="AF133">
            <v>-6</v>
          </cell>
          <cell r="AG133">
            <v>2122920.1055304175</v>
          </cell>
          <cell r="AH133">
            <v>48480.346431983169</v>
          </cell>
          <cell r="AI133">
            <v>2.2836632573070958E-2</v>
          </cell>
          <cell r="AK133">
            <v>5127.8263418609122</v>
          </cell>
          <cell r="AL133">
            <v>5322.0599312803943</v>
          </cell>
        </row>
        <row r="134">
          <cell r="A134">
            <v>3732027</v>
          </cell>
          <cell r="B134" t="str">
            <v>Recoupment Academy</v>
          </cell>
          <cell r="C134">
            <v>0</v>
          </cell>
          <cell r="D134">
            <v>2027</v>
          </cell>
          <cell r="E134" t="str">
            <v>Wincobank Nursery and Infant School</v>
          </cell>
          <cell r="F134">
            <v>122</v>
          </cell>
          <cell r="G134">
            <v>416369.96667311073</v>
          </cell>
          <cell r="H134">
            <v>24358.927646972843</v>
          </cell>
          <cell r="I134">
            <v>31931.609676883872</v>
          </cell>
          <cell r="J134">
            <v>30086.49344941074</v>
          </cell>
          <cell r="K134">
            <v>40114.90441549653</v>
          </cell>
          <cell r="L134">
            <v>17019.753086419783</v>
          </cell>
          <cell r="M134">
            <v>559881.6549482944</v>
          </cell>
          <cell r="N134">
            <v>121300</v>
          </cell>
          <cell r="O134">
            <v>1554.0000000000016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10850.594986052818</v>
          </cell>
          <cell r="U134">
            <v>10850.594986052818</v>
          </cell>
          <cell r="V134">
            <v>0</v>
          </cell>
          <cell r="W134">
            <v>0</v>
          </cell>
          <cell r="X134">
            <v>0</v>
          </cell>
          <cell r="Y134">
            <v>2406</v>
          </cell>
          <cell r="Z134">
            <v>695992.249934347</v>
          </cell>
          <cell r="AA134">
            <v>0</v>
          </cell>
          <cell r="AC134">
            <v>43</v>
          </cell>
          <cell r="AD134">
            <v>795954.36241458799</v>
          </cell>
          <cell r="AE134">
            <v>-99962.11248024099</v>
          </cell>
          <cell r="AF134">
            <v>-9</v>
          </cell>
          <cell r="AG134">
            <v>726161.38827856304</v>
          </cell>
          <cell r="AH134">
            <v>-30169.138344216044</v>
          </cell>
          <cell r="AI134">
            <v>-4.1546051375349155E-2</v>
          </cell>
          <cell r="AK134">
            <v>5543.2167044165117</v>
          </cell>
          <cell r="AL134">
            <v>5704.8545076585815</v>
          </cell>
        </row>
        <row r="135">
          <cell r="A135">
            <v>3732361</v>
          </cell>
          <cell r="B135" t="str">
            <v>Recoupment Academy</v>
          </cell>
          <cell r="C135">
            <v>0</v>
          </cell>
          <cell r="D135">
            <v>2361</v>
          </cell>
          <cell r="E135" t="str">
            <v>Windmill Hill Primary School</v>
          </cell>
          <cell r="F135">
            <v>317</v>
          </cell>
          <cell r="G135">
            <v>1081879.3396342304</v>
          </cell>
          <cell r="H135">
            <v>18541.870298442023</v>
          </cell>
          <cell r="I135">
            <v>25735.924217189946</v>
          </cell>
          <cell r="J135">
            <v>21075.358690604062</v>
          </cell>
          <cell r="K135">
            <v>90715.519480519462</v>
          </cell>
          <cell r="L135">
            <v>1252.4825174825169</v>
          </cell>
          <cell r="M135">
            <v>1239200.4948384683</v>
          </cell>
          <cell r="N135">
            <v>121300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6744.1524761061564</v>
          </cell>
          <cell r="U135">
            <v>6744.1524761061564</v>
          </cell>
          <cell r="V135">
            <v>0</v>
          </cell>
          <cell r="W135">
            <v>0</v>
          </cell>
          <cell r="X135">
            <v>0</v>
          </cell>
          <cell r="Y135">
            <v>4429</v>
          </cell>
          <cell r="Z135">
            <v>1371673.6473145748</v>
          </cell>
          <cell r="AA135">
            <v>0</v>
          </cell>
          <cell r="AC135">
            <v>55</v>
          </cell>
          <cell r="AD135">
            <v>1395000</v>
          </cell>
          <cell r="AE135">
            <v>-23326.352685425198</v>
          </cell>
          <cell r="AF135">
            <v>-34</v>
          </cell>
          <cell r="AG135">
            <v>1478257.3186100803</v>
          </cell>
          <cell r="AH135">
            <v>-106583.67129550548</v>
          </cell>
          <cell r="AI135">
            <v>-7.2100892012305365E-2</v>
          </cell>
          <cell r="AK135">
            <v>4211.5593122794307</v>
          </cell>
          <cell r="AL135">
            <v>4327.0462060396685</v>
          </cell>
        </row>
        <row r="136">
          <cell r="A136">
            <v>3732043</v>
          </cell>
          <cell r="B136" t="str">
            <v>Recoupment Academy</v>
          </cell>
          <cell r="C136">
            <v>0</v>
          </cell>
          <cell r="D136">
            <v>2043</v>
          </cell>
          <cell r="E136" t="str">
            <v>Wisewood Community Primary School</v>
          </cell>
          <cell r="F136">
            <v>153</v>
          </cell>
          <cell r="G136">
            <v>522168.89263103227</v>
          </cell>
          <cell r="H136">
            <v>31266.68324835318</v>
          </cell>
          <cell r="I136">
            <v>41940.024650235464</v>
          </cell>
          <cell r="J136">
            <v>19712.022541234983</v>
          </cell>
          <cell r="K136">
            <v>64178.86363636364</v>
          </cell>
          <cell r="L136">
            <v>5199.6992481202988</v>
          </cell>
          <cell r="M136">
            <v>684466.18595533981</v>
          </cell>
          <cell r="N136">
            <v>121300</v>
          </cell>
          <cell r="O136">
            <v>3533.4999999999991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2509</v>
          </cell>
          <cell r="Z136">
            <v>811808.68595533981</v>
          </cell>
          <cell r="AA136">
            <v>0</v>
          </cell>
          <cell r="AC136">
            <v>5</v>
          </cell>
          <cell r="AD136">
            <v>750152.30770167802</v>
          </cell>
          <cell r="AE136">
            <v>61656.378253661795</v>
          </cell>
          <cell r="AF136">
            <v>-9</v>
          </cell>
          <cell r="AG136">
            <v>814845.01154337917</v>
          </cell>
          <cell r="AH136">
            <v>-3036.3255880393554</v>
          </cell>
          <cell r="AI136">
            <v>-3.7262614914808411E-3</v>
          </cell>
          <cell r="AK136">
            <v>5029.9074786628344</v>
          </cell>
          <cell r="AL136">
            <v>5305.9391238911103</v>
          </cell>
        </row>
        <row r="137">
          <cell r="A137">
            <v>3732139</v>
          </cell>
          <cell r="B137" t="str">
            <v>Recoupment Academy</v>
          </cell>
          <cell r="C137">
            <v>0</v>
          </cell>
          <cell r="D137">
            <v>2139</v>
          </cell>
          <cell r="E137" t="str">
            <v>Woodhouse West Primary School</v>
          </cell>
          <cell r="F137">
            <v>343</v>
          </cell>
          <cell r="G137">
            <v>1170613.9226957129</v>
          </cell>
          <cell r="H137">
            <v>62169.800412423152</v>
          </cell>
          <cell r="I137">
            <v>86739.596435714309</v>
          </cell>
          <cell r="J137">
            <v>90347.744102227487</v>
          </cell>
          <cell r="K137">
            <v>151893.37837837837</v>
          </cell>
          <cell r="L137">
            <v>7129.5819397993364</v>
          </cell>
          <cell r="M137">
            <v>1568894.0239642556</v>
          </cell>
          <cell r="N137">
            <v>121300</v>
          </cell>
          <cell r="O137">
            <v>13338.500000000126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5171</v>
          </cell>
          <cell r="Z137">
            <v>1708703.5239642556</v>
          </cell>
          <cell r="AA137">
            <v>0</v>
          </cell>
          <cell r="AC137">
            <v>-2</v>
          </cell>
          <cell r="AD137">
            <v>1505852.7731743101</v>
          </cell>
          <cell r="AE137">
            <v>202850.75078994548</v>
          </cell>
          <cell r="AF137">
            <v>0</v>
          </cell>
          <cell r="AG137">
            <v>1644277.6797919134</v>
          </cell>
          <cell r="AH137">
            <v>64425.844172342215</v>
          </cell>
          <cell r="AI137">
            <v>3.9181851681216906E-2</v>
          </cell>
          <cell r="AK137">
            <v>4793.8124775274446</v>
          </cell>
          <cell r="AL137">
            <v>4981.6429270094914</v>
          </cell>
        </row>
        <row r="138">
          <cell r="A138">
            <v>3732034</v>
          </cell>
          <cell r="B138" t="str">
            <v>Recoupment Academy</v>
          </cell>
          <cell r="C138">
            <v>0</v>
          </cell>
          <cell r="D138">
            <v>2034</v>
          </cell>
          <cell r="E138" t="str">
            <v>Woodlands Primary (Valley Park) Community School</v>
          </cell>
          <cell r="F138">
            <v>354</v>
          </cell>
          <cell r="G138">
            <v>1208155.4770678787</v>
          </cell>
          <cell r="H138">
            <v>80711.670710865219</v>
          </cell>
          <cell r="I138">
            <v>112475.52065290435</v>
          </cell>
          <cell r="J138">
            <v>139119.30276735983</v>
          </cell>
          <cell r="K138">
            <v>143779.43060498222</v>
          </cell>
          <cell r="L138">
            <v>16026.442307692301</v>
          </cell>
          <cell r="M138">
            <v>1700267.8441116826</v>
          </cell>
          <cell r="N138">
            <v>121300</v>
          </cell>
          <cell r="O138">
            <v>5398.7507082152997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10240</v>
          </cell>
          <cell r="Z138">
            <v>1837206.594819898</v>
          </cell>
          <cell r="AA138">
            <v>0</v>
          </cell>
          <cell r="AB138">
            <v>206358983.98675978</v>
          </cell>
          <cell r="AC138">
            <v>18</v>
          </cell>
          <cell r="AD138">
            <v>1787018.9611762399</v>
          </cell>
          <cell r="AE138">
            <v>50187.633643658133</v>
          </cell>
          <cell r="AF138">
            <v>-36</v>
          </cell>
          <cell r="AG138">
            <v>1948286.4387243374</v>
          </cell>
          <cell r="AH138">
            <v>-111079.84390443936</v>
          </cell>
          <cell r="AI138">
            <v>-5.7014123640448958E-2</v>
          </cell>
          <cell r="AK138">
            <v>4995.6062531393263</v>
          </cell>
          <cell r="AL138">
            <v>5189.8491379093166</v>
          </cell>
        </row>
        <row r="139">
          <cell r="A139">
            <v>3732324</v>
          </cell>
          <cell r="B139" t="str">
            <v>Recoupment Academy</v>
          </cell>
          <cell r="C139">
            <v>0</v>
          </cell>
          <cell r="D139">
            <v>2324</v>
          </cell>
          <cell r="E139" t="str">
            <v>Woodseats Primary School</v>
          </cell>
          <cell r="F139">
            <v>375</v>
          </cell>
          <cell r="G139">
            <v>1279825.7172329223</v>
          </cell>
          <cell r="H139">
            <v>45082.19445111393</v>
          </cell>
          <cell r="I139">
            <v>61480.263407731582</v>
          </cell>
          <cell r="J139">
            <v>51824.954059382253</v>
          </cell>
          <cell r="K139">
            <v>102683.4470989761</v>
          </cell>
          <cell r="L139">
            <v>19444.224683544307</v>
          </cell>
          <cell r="M139">
            <v>1560340.8009336705</v>
          </cell>
          <cell r="N139">
            <v>121300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5018</v>
          </cell>
          <cell r="Z139">
            <v>1686658.8009336705</v>
          </cell>
          <cell r="AA139">
            <v>0</v>
          </cell>
          <cell r="AB139">
            <v>988738.49328680127</v>
          </cell>
          <cell r="AC139">
            <v>-18</v>
          </cell>
          <cell r="AD139">
            <v>1447167.75157009</v>
          </cell>
          <cell r="AE139">
            <v>239491.04936358053</v>
          </cell>
          <cell r="AF139">
            <v>12</v>
          </cell>
          <cell r="AG139">
            <v>1593613.7703136604</v>
          </cell>
          <cell r="AH139">
            <v>93045.030620010104</v>
          </cell>
          <cell r="AI139">
            <v>5.8386186385485782E-2</v>
          </cell>
          <cell r="AK139">
            <v>4390.1205793764748</v>
          </cell>
          <cell r="AL139">
            <v>4497.7568024897882</v>
          </cell>
        </row>
        <row r="140">
          <cell r="A140">
            <v>3732327</v>
          </cell>
          <cell r="B140" t="str">
            <v>Recoupment Academy</v>
          </cell>
          <cell r="C140">
            <v>0</v>
          </cell>
          <cell r="D140">
            <v>2327</v>
          </cell>
          <cell r="E140" t="str">
            <v>Woodthorpe Primary School</v>
          </cell>
          <cell r="F140">
            <v>396</v>
          </cell>
          <cell r="G140">
            <v>1351495.9573979659</v>
          </cell>
          <cell r="H140">
            <v>88710.12456509503</v>
          </cell>
          <cell r="I140">
            <v>119147.79730180535</v>
          </cell>
          <cell r="J140">
            <v>158370.06813611294</v>
          </cell>
          <cell r="K140">
            <v>151353.5294117647</v>
          </cell>
          <cell r="L140">
            <v>12393.760932944606</v>
          </cell>
          <cell r="M140">
            <v>1881471.2377456888</v>
          </cell>
          <cell r="N140">
            <v>121300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48848</v>
          </cell>
          <cell r="Z140">
            <v>2051619.2377456888</v>
          </cell>
          <cell r="AA140">
            <v>0</v>
          </cell>
          <cell r="AB140">
            <v>2275234.4338318082</v>
          </cell>
          <cell r="AC140">
            <v>6</v>
          </cell>
          <cell r="AD140">
            <v>1919906.24090925</v>
          </cell>
          <cell r="AE140">
            <v>131712.99683643878</v>
          </cell>
          <cell r="AF140">
            <v>-7</v>
          </cell>
          <cell r="AG140">
            <v>2019467.3704845498</v>
          </cell>
          <cell r="AH140">
            <v>32151.867261138977</v>
          </cell>
          <cell r="AI140">
            <v>1.5920963978449665E-2</v>
          </cell>
          <cell r="AK140">
            <v>5011.0852865621582</v>
          </cell>
          <cell r="AL140">
            <v>5180.8566609739619</v>
          </cell>
        </row>
        <row r="141">
          <cell r="A141">
            <v>3732321</v>
          </cell>
          <cell r="B141" t="str">
            <v>Recoupment Academy</v>
          </cell>
          <cell r="C141">
            <v>0</v>
          </cell>
          <cell r="D141">
            <v>2321</v>
          </cell>
          <cell r="E141" t="str">
            <v>Wybourn Community Primary &amp; Nursery School</v>
          </cell>
          <cell r="F141">
            <v>413</v>
          </cell>
          <cell r="G141">
            <v>1409514.7232458584</v>
          </cell>
          <cell r="H141">
            <v>97072.144503608128</v>
          </cell>
          <cell r="I141">
            <v>133445.53297802198</v>
          </cell>
          <cell r="J141">
            <v>164189.88005204557</v>
          </cell>
          <cell r="K141">
            <v>225205.0581395349</v>
          </cell>
          <cell r="L141">
            <v>20492.053824362607</v>
          </cell>
          <cell r="M141">
            <v>2049919.3927434315</v>
          </cell>
          <cell r="N141">
            <v>121300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10000</v>
          </cell>
          <cell r="X141">
            <v>0</v>
          </cell>
          <cell r="Y141">
            <v>5171</v>
          </cell>
          <cell r="Z141">
            <v>2186390.3927434315</v>
          </cell>
          <cell r="AA141">
            <v>0</v>
          </cell>
          <cell r="AB141">
            <v>1924559.8978912374</v>
          </cell>
          <cell r="AC141">
            <v>-8</v>
          </cell>
          <cell r="AD141">
            <v>1909892.8697899999</v>
          </cell>
          <cell r="AE141">
            <v>276497.52295343159</v>
          </cell>
          <cell r="AF141">
            <v>-1</v>
          </cell>
          <cell r="AG141">
            <v>2110876.1088649984</v>
          </cell>
          <cell r="AH141">
            <v>75514.283878433052</v>
          </cell>
          <cell r="AI141">
            <v>3.5773906181086342E-2</v>
          </cell>
          <cell r="AK141">
            <v>5098.7345624758418</v>
          </cell>
          <cell r="AL141">
            <v>5293.9234691124248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AB142">
            <v>211547516.8117696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Total Primary</v>
          </cell>
          <cell r="F143">
            <v>43067</v>
          </cell>
          <cell r="G143">
            <v>146982011.10418737</v>
          </cell>
          <cell r="H143">
            <v>5015757.6987707028</v>
          </cell>
          <cell r="I143">
            <v>6921533.8408564804</v>
          </cell>
          <cell r="J143">
            <v>8116191.0334424637</v>
          </cell>
          <cell r="K143">
            <v>14514737.695637578</v>
          </cell>
          <cell r="L143">
            <v>3123594.2682718928</v>
          </cell>
          <cell r="M143">
            <v>184673825.64116651</v>
          </cell>
          <cell r="N143">
            <v>16132900</v>
          </cell>
          <cell r="O143">
            <v>412380.28536047082</v>
          </cell>
          <cell r="Q143">
            <v>1934808.2959772265</v>
          </cell>
          <cell r="R143">
            <v>0</v>
          </cell>
          <cell r="S143">
            <v>0</v>
          </cell>
          <cell r="T143">
            <v>673677.85486865521</v>
          </cell>
          <cell r="U143">
            <v>673677.85486865521</v>
          </cell>
          <cell r="V143">
            <v>443124.92059267883</v>
          </cell>
          <cell r="W143">
            <v>92498.067632724997</v>
          </cell>
          <cell r="X143">
            <v>20578.371161548726</v>
          </cell>
          <cell r="Y143">
            <v>1975190.55</v>
          </cell>
          <cell r="Z143">
            <v>206358983.98675978</v>
          </cell>
          <cell r="AA143">
            <v>211547516.92817718</v>
          </cell>
          <cell r="AB143" t="str">
            <v>ISB Primary</v>
          </cell>
          <cell r="AD143">
            <v>186906006.43259946</v>
          </cell>
          <cell r="AE143">
            <v>19452977.554160401</v>
          </cell>
          <cell r="AF143">
            <v>-248</v>
          </cell>
          <cell r="AG143">
            <v>202086870.99551478</v>
          </cell>
          <cell r="AH143">
            <v>4272112.9912450016</v>
          </cell>
          <cell r="AI143">
            <v>2.113998287073196E-2</v>
          </cell>
          <cell r="AK143">
            <v>4665.5170494174026</v>
          </cell>
          <cell r="AL143">
            <v>4791.5801887003918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Q144">
            <v>21</v>
          </cell>
          <cell r="S144">
            <v>0</v>
          </cell>
          <cell r="U144">
            <v>43</v>
          </cell>
          <cell r="AA144">
            <v>0.11640754900872707</v>
          </cell>
          <cell r="AB144" t="str">
            <v>Sector Balance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Secondary</v>
          </cell>
          <cell r="S145">
            <v>0</v>
          </cell>
          <cell r="U145">
            <v>5027.4466781242927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N146">
            <v>121300</v>
          </cell>
          <cell r="R146">
            <v>5525</v>
          </cell>
        </row>
        <row r="147">
          <cell r="A147">
            <v>3735401</v>
          </cell>
          <cell r="B147" t="str">
            <v>Recoupment Academy</v>
          </cell>
          <cell r="C147">
            <v>0</v>
          </cell>
          <cell r="D147">
            <v>5401</v>
          </cell>
          <cell r="E147" t="str">
            <v>All Saints' Catholic High School</v>
          </cell>
          <cell r="F147">
            <v>1023</v>
          </cell>
          <cell r="G147">
            <v>4872456</v>
          </cell>
          <cell r="H147">
            <v>99170.000000000029</v>
          </cell>
          <cell r="I147">
            <v>115958.35517243664</v>
          </cell>
          <cell r="J147">
            <v>368958.18307322293</v>
          </cell>
          <cell r="K147">
            <v>381992.05719383189</v>
          </cell>
          <cell r="L147">
            <v>26035.450097847326</v>
          </cell>
          <cell r="M147">
            <v>5864570.0455373386</v>
          </cell>
          <cell r="N147">
            <v>121300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34816</v>
          </cell>
          <cell r="Z147">
            <v>6020686.0455373386</v>
          </cell>
          <cell r="AA147">
            <v>0</v>
          </cell>
          <cell r="AC147">
            <v>6</v>
          </cell>
          <cell r="AD147">
            <v>5472307.7955334801</v>
          </cell>
          <cell r="AE147">
            <v>548378.25000385847</v>
          </cell>
          <cell r="AF147">
            <v>5</v>
          </cell>
          <cell r="AG147">
            <v>5830285.9891246632</v>
          </cell>
          <cell r="AH147">
            <v>190400.05641267542</v>
          </cell>
          <cell r="AI147">
            <v>3.2657069784883974E-2</v>
          </cell>
          <cell r="AK147">
            <v>5727.1964529711822</v>
          </cell>
          <cell r="AL147">
            <v>5885.323602675795</v>
          </cell>
        </row>
        <row r="148">
          <cell r="A148">
            <v>3734017</v>
          </cell>
          <cell r="B148" t="str">
            <v>Recoupment Academy</v>
          </cell>
          <cell r="C148">
            <v>0</v>
          </cell>
          <cell r="D148">
            <v>4017</v>
          </cell>
          <cell r="E148" t="str">
            <v>Bradfield School</v>
          </cell>
          <cell r="F148">
            <v>1081</v>
          </cell>
          <cell r="G148">
            <v>5134392</v>
          </cell>
          <cell r="H148">
            <v>72379.999999999825</v>
          </cell>
          <cell r="I148">
            <v>78468.059891122655</v>
          </cell>
          <cell r="J148">
            <v>95423.134452959639</v>
          </cell>
          <cell r="K148">
            <v>267773.71868999721</v>
          </cell>
          <cell r="L148">
            <v>13808.320964749542</v>
          </cell>
          <cell r="M148">
            <v>5662245.2339988295</v>
          </cell>
          <cell r="N148">
            <v>121300</v>
          </cell>
          <cell r="O148">
            <v>0</v>
          </cell>
          <cell r="P148">
            <v>188979.76600117082</v>
          </cell>
          <cell r="Q148">
            <v>188979.76600117082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427402.65247123979</v>
          </cell>
          <cell r="W148">
            <v>0</v>
          </cell>
          <cell r="X148">
            <v>0</v>
          </cell>
          <cell r="Y148">
            <v>34258</v>
          </cell>
          <cell r="Z148">
            <v>6434185.6524712406</v>
          </cell>
          <cell r="AA148">
            <v>0</v>
          </cell>
          <cell r="AC148" t="e">
            <v>#N/A</v>
          </cell>
          <cell r="AD148" t="e">
            <v>#N/A</v>
          </cell>
          <cell r="AE148" t="e">
            <v>#N/A</v>
          </cell>
          <cell r="AF148">
            <v>14</v>
          </cell>
          <cell r="AG148">
            <v>6184256.1250446513</v>
          </cell>
          <cell r="AH148">
            <v>249929.52742658928</v>
          </cell>
          <cell r="AI148">
            <v>4.0413838361971911E-2</v>
          </cell>
          <cell r="AK148">
            <v>5795.9288894514075</v>
          </cell>
          <cell r="AL148">
            <v>5952.0681336459211</v>
          </cell>
        </row>
        <row r="149">
          <cell r="A149">
            <v>3734000</v>
          </cell>
          <cell r="B149" t="str">
            <v>Recoupment Academy</v>
          </cell>
          <cell r="C149">
            <v>0</v>
          </cell>
          <cell r="D149">
            <v>4000</v>
          </cell>
          <cell r="E149" t="str">
            <v>Chaucer School</v>
          </cell>
          <cell r="F149">
            <v>820</v>
          </cell>
          <cell r="G149">
            <v>3911328</v>
          </cell>
          <cell r="H149">
            <v>201159.99999999997</v>
          </cell>
          <cell r="I149">
            <v>218838.70036301969</v>
          </cell>
          <cell r="J149">
            <v>470240.03471053566</v>
          </cell>
          <cell r="K149">
            <v>442554.92606507061</v>
          </cell>
          <cell r="L149">
            <v>32169.230769230715</v>
          </cell>
          <cell r="M149">
            <v>5276290.8919078568</v>
          </cell>
          <cell r="N149">
            <v>121300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17408</v>
          </cell>
          <cell r="Z149">
            <v>5414998.8919078568</v>
          </cell>
          <cell r="AA149">
            <v>0</v>
          </cell>
          <cell r="AC149">
            <v>20</v>
          </cell>
          <cell r="AD149">
            <v>5126162.6110881297</v>
          </cell>
          <cell r="AE149">
            <v>288836.28081972711</v>
          </cell>
          <cell r="AF149">
            <v>-48</v>
          </cell>
          <cell r="AG149">
            <v>5566804.6843224708</v>
          </cell>
          <cell r="AH149">
            <v>-151805.792414614</v>
          </cell>
          <cell r="AI149">
            <v>-2.7269825514471071E-2</v>
          </cell>
          <cell r="AK149">
            <v>6413.369451984413</v>
          </cell>
          <cell r="AL149">
            <v>6603.6571852534835</v>
          </cell>
        </row>
        <row r="150">
          <cell r="A150">
            <v>3734012</v>
          </cell>
          <cell r="B150" t="str">
            <v>Recoupment Academy</v>
          </cell>
          <cell r="C150">
            <v>0</v>
          </cell>
          <cell r="D150">
            <v>4012</v>
          </cell>
          <cell r="E150" t="str">
            <v>Ecclesfield School</v>
          </cell>
          <cell r="F150">
            <v>1676</v>
          </cell>
          <cell r="G150">
            <v>7979616</v>
          </cell>
          <cell r="H150">
            <v>183770.00000000015</v>
          </cell>
          <cell r="I150">
            <v>204452.88938298024</v>
          </cell>
          <cell r="J150">
            <v>372382.73874965188</v>
          </cell>
          <cell r="K150">
            <v>722032.02472935361</v>
          </cell>
          <cell r="L150">
            <v>9179.9999999999927</v>
          </cell>
          <cell r="M150">
            <v>9471433.6528619863</v>
          </cell>
          <cell r="N150">
            <v>121300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660735.72346973035</v>
          </cell>
          <cell r="W150">
            <v>0</v>
          </cell>
          <cell r="X150">
            <v>0</v>
          </cell>
          <cell r="Y150">
            <v>43520</v>
          </cell>
          <cell r="Z150">
            <v>10296989.376331717</v>
          </cell>
          <cell r="AA150">
            <v>0</v>
          </cell>
          <cell r="AC150">
            <v>25</v>
          </cell>
          <cell r="AD150">
            <v>9422714.2879699096</v>
          </cell>
          <cell r="AE150">
            <v>874275.08836180717</v>
          </cell>
          <cell r="AF150">
            <v>-24</v>
          </cell>
          <cell r="AG150">
            <v>10041213.244442763</v>
          </cell>
          <cell r="AH150">
            <v>255776.13188895397</v>
          </cell>
          <cell r="AI150">
            <v>2.5472632207120132E-2</v>
          </cell>
          <cell r="AK150">
            <v>5906.5960261428017</v>
          </cell>
          <cell r="AL150">
            <v>6143.788410699115</v>
          </cell>
        </row>
        <row r="151">
          <cell r="A151">
            <v>3734280</v>
          </cell>
          <cell r="B151" t="str">
            <v>Recoupment Academy</v>
          </cell>
          <cell r="C151">
            <v>0</v>
          </cell>
          <cell r="D151">
            <v>4280</v>
          </cell>
          <cell r="E151" t="str">
            <v>Fir Vale School</v>
          </cell>
          <cell r="F151">
            <v>986</v>
          </cell>
          <cell r="G151">
            <v>4701168</v>
          </cell>
          <cell r="H151">
            <v>277300.00000000017</v>
          </cell>
          <cell r="I151">
            <v>278125.67894742329</v>
          </cell>
          <cell r="J151">
            <v>464563.17099664494</v>
          </cell>
          <cell r="K151">
            <v>597293.46065558551</v>
          </cell>
          <cell r="L151">
            <v>200322.16547497461</v>
          </cell>
          <cell r="M151">
            <v>6518772.4760746285</v>
          </cell>
          <cell r="N151">
            <v>121300</v>
          </cell>
          <cell r="O151">
            <v>50720.923296032604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388714.45306751441</v>
          </cell>
          <cell r="W151">
            <v>0</v>
          </cell>
          <cell r="X151">
            <v>0</v>
          </cell>
          <cell r="Y151">
            <v>29952</v>
          </cell>
          <cell r="Z151">
            <v>7109459.8524381761</v>
          </cell>
          <cell r="AA151">
            <v>0</v>
          </cell>
          <cell r="AC151">
            <v>75</v>
          </cell>
          <cell r="AD151">
            <v>7028866.7001705999</v>
          </cell>
          <cell r="AE151">
            <v>80593.152267576195</v>
          </cell>
          <cell r="AF151">
            <v>9</v>
          </cell>
          <cell r="AG151">
            <v>6746206.6743630096</v>
          </cell>
          <cell r="AH151">
            <v>363253.17807516642</v>
          </cell>
          <cell r="AI151">
            <v>5.3845545446391994E-2</v>
          </cell>
          <cell r="AK151">
            <v>6905.0221846090171</v>
          </cell>
          <cell r="AL151">
            <v>7210.4055298561625</v>
          </cell>
        </row>
        <row r="152">
          <cell r="A152">
            <v>3734003</v>
          </cell>
          <cell r="B152" t="str">
            <v>Recoupment Academy</v>
          </cell>
          <cell r="C152">
            <v>0</v>
          </cell>
          <cell r="D152">
            <v>4003</v>
          </cell>
          <cell r="E152" t="str">
            <v>Firth Park Academy</v>
          </cell>
          <cell r="F152">
            <v>1142</v>
          </cell>
          <cell r="G152">
            <v>5433552</v>
          </cell>
          <cell r="H152">
            <v>258970.0000000002</v>
          </cell>
          <cell r="I152">
            <v>285972.48493653542</v>
          </cell>
          <cell r="J152">
            <v>626941.63747041626</v>
          </cell>
          <cell r="K152">
            <v>549439.8517062465</v>
          </cell>
          <cell r="L152">
            <v>121082.05263157898</v>
          </cell>
          <cell r="M152">
            <v>7275958.0267447783</v>
          </cell>
          <cell r="N152">
            <v>121300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22957</v>
          </cell>
          <cell r="Z152">
            <v>7420215.0267447783</v>
          </cell>
          <cell r="AA152">
            <v>0</v>
          </cell>
          <cell r="AC152">
            <v>4</v>
          </cell>
          <cell r="AD152">
            <v>7116819.8292259499</v>
          </cell>
          <cell r="AE152">
            <v>303395.19751882832</v>
          </cell>
          <cell r="AF152">
            <v>-9</v>
          </cell>
          <cell r="AG152">
            <v>7322626.5918629812</v>
          </cell>
          <cell r="AH152">
            <v>97588.43488179706</v>
          </cell>
          <cell r="AI152">
            <v>1.3326971361647592E-2</v>
          </cell>
          <cell r="AK152">
            <v>6361.9692370660132</v>
          </cell>
          <cell r="AL152">
            <v>6497.5613193912241</v>
          </cell>
        </row>
        <row r="153">
          <cell r="A153">
            <v>3734007</v>
          </cell>
          <cell r="B153" t="str">
            <v>Recoupment Academy</v>
          </cell>
          <cell r="C153">
            <v>0</v>
          </cell>
          <cell r="D153">
            <v>4007</v>
          </cell>
          <cell r="E153" t="str">
            <v>Forge Valley School</v>
          </cell>
          <cell r="F153">
            <v>1210</v>
          </cell>
          <cell r="G153">
            <v>5759856</v>
          </cell>
          <cell r="H153">
            <v>129249.99999999984</v>
          </cell>
          <cell r="I153">
            <v>142550.30880220621</v>
          </cell>
          <cell r="J153">
            <v>185786.44325777478</v>
          </cell>
          <cell r="K153">
            <v>388196.56962378224</v>
          </cell>
          <cell r="L153">
            <v>22949.999999999942</v>
          </cell>
          <cell r="M153">
            <v>6628589.3216837635</v>
          </cell>
          <cell r="N153">
            <v>121300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45774</v>
          </cell>
          <cell r="Z153">
            <v>6795663.3216837635</v>
          </cell>
          <cell r="AA153">
            <v>0</v>
          </cell>
          <cell r="AC153">
            <v>-88</v>
          </cell>
          <cell r="AD153">
            <v>5688990.4407250602</v>
          </cell>
          <cell r="AE153">
            <v>1106672.8809587033</v>
          </cell>
          <cell r="AF153">
            <v>37</v>
          </cell>
          <cell r="AG153">
            <v>6400657.0971617876</v>
          </cell>
          <cell r="AH153">
            <v>395006.22452197596</v>
          </cell>
          <cell r="AI153">
            <v>6.1713386379834603E-2</v>
          </cell>
          <cell r="AK153">
            <v>5456.6556668045932</v>
          </cell>
          <cell r="AL153">
            <v>5616.2506790774905</v>
          </cell>
        </row>
        <row r="154">
          <cell r="A154">
            <v>3734278</v>
          </cell>
          <cell r="B154" t="str">
            <v>Recoupment Academy</v>
          </cell>
          <cell r="C154">
            <v>0</v>
          </cell>
          <cell r="D154">
            <v>4278</v>
          </cell>
          <cell r="E154" t="str">
            <v>Handsworth Grange Community Sports College</v>
          </cell>
          <cell r="F154">
            <v>1015</v>
          </cell>
          <cell r="G154">
            <v>4836168</v>
          </cell>
          <cell r="H154">
            <v>133480.00000000017</v>
          </cell>
          <cell r="I154">
            <v>146037.77813070035</v>
          </cell>
          <cell r="J154">
            <v>267358.02027903905</v>
          </cell>
          <cell r="K154">
            <v>430591.75519748573</v>
          </cell>
          <cell r="L154">
            <v>26009.999999999996</v>
          </cell>
          <cell r="M154">
            <v>5839645.5536072254</v>
          </cell>
          <cell r="N154">
            <v>121300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26112</v>
          </cell>
          <cell r="Z154">
            <v>5987057.5536072254</v>
          </cell>
          <cell r="AA154">
            <v>0</v>
          </cell>
          <cell r="AC154">
            <v>-2</v>
          </cell>
          <cell r="AD154">
            <v>5647839.8651557099</v>
          </cell>
          <cell r="AE154">
            <v>339217.68845151551</v>
          </cell>
          <cell r="AF154">
            <v>-18</v>
          </cell>
          <cell r="AG154">
            <v>5964936.2507710494</v>
          </cell>
          <cell r="AH154">
            <v>22121.302836176008</v>
          </cell>
          <cell r="AI154">
            <v>3.7085564549523102E-3</v>
          </cell>
          <cell r="AK154">
            <v>5774.3816561191188</v>
          </cell>
          <cell r="AL154">
            <v>5898.5788705489904</v>
          </cell>
        </row>
        <row r="155">
          <cell r="A155">
            <v>3734257</v>
          </cell>
          <cell r="B155" t="str">
            <v>Recoupment Academy</v>
          </cell>
          <cell r="C155">
            <v>0</v>
          </cell>
          <cell r="D155">
            <v>4257</v>
          </cell>
          <cell r="E155" t="str">
            <v>High Storrs School</v>
          </cell>
          <cell r="F155">
            <v>1206</v>
          </cell>
          <cell r="G155">
            <v>5746320</v>
          </cell>
          <cell r="H155">
            <v>37599.999999999978</v>
          </cell>
          <cell r="I155">
            <v>47952.703266797107</v>
          </cell>
          <cell r="J155">
            <v>26386.635739418507</v>
          </cell>
          <cell r="K155">
            <v>264227.74284181633</v>
          </cell>
          <cell r="L155">
            <v>15363.696919233971</v>
          </cell>
          <cell r="M155">
            <v>6137850.7787672654</v>
          </cell>
          <cell r="N155">
            <v>121300</v>
          </cell>
          <cell r="O155">
            <v>0</v>
          </cell>
          <cell r="P155">
            <v>403999.22123273544</v>
          </cell>
          <cell r="Q155">
            <v>403999.22123273544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37258</v>
          </cell>
          <cell r="Z155">
            <v>6700407.9999999991</v>
          </cell>
          <cell r="AA155">
            <v>0</v>
          </cell>
          <cell r="AC155">
            <v>1</v>
          </cell>
          <cell r="AD155">
            <v>6035000</v>
          </cell>
          <cell r="AE155">
            <v>665407.99999999907</v>
          </cell>
          <cell r="AF155">
            <v>-2</v>
          </cell>
          <cell r="AG155">
            <v>6581253</v>
          </cell>
          <cell r="AH155">
            <v>119154.99999999907</v>
          </cell>
          <cell r="AI155">
            <v>1.8105214918800277E-2</v>
          </cell>
          <cell r="AK155">
            <v>5448.0571192052976</v>
          </cell>
          <cell r="AL155">
            <v>5555.8938640132665</v>
          </cell>
        </row>
        <row r="156">
          <cell r="A156">
            <v>3734230</v>
          </cell>
          <cell r="B156" t="str">
            <v>Recoupment Academy</v>
          </cell>
          <cell r="C156">
            <v>0</v>
          </cell>
          <cell r="D156">
            <v>4230</v>
          </cell>
          <cell r="E156" t="str">
            <v>King Ecgbert School</v>
          </cell>
          <cell r="F156">
            <v>1034</v>
          </cell>
          <cell r="G156">
            <v>4924080</v>
          </cell>
          <cell r="H156">
            <v>81309.999999999956</v>
          </cell>
          <cell r="I156">
            <v>88494.534210543934</v>
          </cell>
          <cell r="J156">
            <v>68547.942132798969</v>
          </cell>
          <cell r="K156">
            <v>336985.90763263887</v>
          </cell>
          <cell r="L156">
            <v>7687.1720116618035</v>
          </cell>
          <cell r="M156">
            <v>5507105.5559876431</v>
          </cell>
          <cell r="N156">
            <v>121300</v>
          </cell>
          <cell r="O156">
            <v>0</v>
          </cell>
          <cell r="P156">
            <v>84444.444012356689</v>
          </cell>
          <cell r="Q156">
            <v>84444.444012356689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631069.78399466234</v>
          </cell>
          <cell r="W156">
            <v>0</v>
          </cell>
          <cell r="X156">
            <v>0</v>
          </cell>
          <cell r="Y156">
            <v>40960</v>
          </cell>
          <cell r="Z156">
            <v>6384879.7839946616</v>
          </cell>
          <cell r="AA156">
            <v>0</v>
          </cell>
          <cell r="AC156">
            <v>-31</v>
          </cell>
          <cell r="AD156">
            <v>5596393.0239186296</v>
          </cell>
          <cell r="AE156">
            <v>788486.76007603202</v>
          </cell>
          <cell r="AF156">
            <v>9</v>
          </cell>
          <cell r="AG156">
            <v>6161663.984441299</v>
          </cell>
          <cell r="AH156">
            <v>223215.79955336265</v>
          </cell>
          <cell r="AI156">
            <v>3.6226545315843357E-2</v>
          </cell>
          <cell r="AK156">
            <v>6011.3794970159015</v>
          </cell>
          <cell r="AL156">
            <v>6174.932092838164</v>
          </cell>
        </row>
        <row r="157">
          <cell r="A157">
            <v>3734259</v>
          </cell>
          <cell r="B157">
            <v>0</v>
          </cell>
          <cell r="C157">
            <v>0</v>
          </cell>
          <cell r="D157">
            <v>4259</v>
          </cell>
          <cell r="E157" t="str">
            <v>King Edward VII School</v>
          </cell>
          <cell r="F157">
            <v>1135</v>
          </cell>
          <cell r="G157">
            <v>5406984</v>
          </cell>
          <cell r="H157">
            <v>136770.00000000009</v>
          </cell>
          <cell r="I157">
            <v>159115.78811255383</v>
          </cell>
          <cell r="J157">
            <v>234764.8455005039</v>
          </cell>
          <cell r="K157">
            <v>376801.12922392122</v>
          </cell>
          <cell r="L157">
            <v>94860.000000000087</v>
          </cell>
          <cell r="M157">
            <v>6409295.7628369788</v>
          </cell>
          <cell r="N157">
            <v>121300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447455.27812538418</v>
          </cell>
          <cell r="W157">
            <v>361093.59504350001</v>
          </cell>
          <cell r="X157">
            <v>0</v>
          </cell>
          <cell r="Y157">
            <v>271290</v>
          </cell>
          <cell r="Z157">
            <v>7610434.6360058645</v>
          </cell>
          <cell r="AA157">
            <v>0</v>
          </cell>
          <cell r="AC157">
            <v>8</v>
          </cell>
          <cell r="AD157">
            <v>7364783.7861337299</v>
          </cell>
          <cell r="AE157">
            <v>245650.84987213463</v>
          </cell>
          <cell r="AF157">
            <v>17</v>
          </cell>
          <cell r="AG157">
            <v>7277996.2176470067</v>
          </cell>
          <cell r="AH157">
            <v>332438.41835885774</v>
          </cell>
          <cell r="AI157">
            <v>4.5677190316861127E-2</v>
          </cell>
          <cell r="AK157">
            <v>6509.8356150688787</v>
          </cell>
          <cell r="AL157">
            <v>6705.2287541901887</v>
          </cell>
        </row>
        <row r="158">
          <cell r="A158">
            <v>3734279</v>
          </cell>
          <cell r="B158" t="str">
            <v>Recoupment Academy</v>
          </cell>
          <cell r="C158">
            <v>0</v>
          </cell>
          <cell r="D158">
            <v>4279</v>
          </cell>
          <cell r="E158" t="str">
            <v>Meadowhead School Academy Trust</v>
          </cell>
          <cell r="F158">
            <v>1623</v>
          </cell>
          <cell r="G158">
            <v>7737480</v>
          </cell>
          <cell r="H158">
            <v>203509.99999999977</v>
          </cell>
          <cell r="I158">
            <v>220582.435027267</v>
          </cell>
          <cell r="J158">
            <v>394693.05019796651</v>
          </cell>
          <cell r="K158">
            <v>608790.07328074146</v>
          </cell>
          <cell r="L158">
            <v>41310</v>
          </cell>
          <cell r="M158">
            <v>9206365.5585059747</v>
          </cell>
          <cell r="N158">
            <v>121300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672476.83220281929</v>
          </cell>
          <cell r="W158">
            <v>0</v>
          </cell>
          <cell r="X158">
            <v>0</v>
          </cell>
          <cell r="Y158">
            <v>59904</v>
          </cell>
          <cell r="Z158">
            <v>10060046.390708793</v>
          </cell>
          <cell r="AA158">
            <v>0</v>
          </cell>
          <cell r="AC158">
            <v>-22</v>
          </cell>
          <cell r="AD158">
            <v>9022344.8016426899</v>
          </cell>
          <cell r="AE158">
            <v>1037701.5890661031</v>
          </cell>
          <cell r="AF158">
            <v>31</v>
          </cell>
          <cell r="AG158">
            <v>9561434.8646610118</v>
          </cell>
          <cell r="AH158">
            <v>498611.52604778111</v>
          </cell>
          <cell r="AI158">
            <v>5.2148190423870942E-2</v>
          </cell>
          <cell r="AK158">
            <v>6005.9264225257612</v>
          </cell>
          <cell r="AL158">
            <v>6198.4266116505196</v>
          </cell>
        </row>
        <row r="159">
          <cell r="A159">
            <v>3734015</v>
          </cell>
          <cell r="B159" t="str">
            <v>Recoupment Academy</v>
          </cell>
          <cell r="C159">
            <v>0</v>
          </cell>
          <cell r="D159">
            <v>4015</v>
          </cell>
          <cell r="E159" t="str">
            <v>Mercia School</v>
          </cell>
          <cell r="F159">
            <v>716</v>
          </cell>
          <cell r="G159">
            <v>3359903.9999999995</v>
          </cell>
          <cell r="H159">
            <v>62236.923076922911</v>
          </cell>
          <cell r="I159">
            <v>71007.957743263076</v>
          </cell>
          <cell r="J159">
            <v>75048.803692568355</v>
          </cell>
          <cell r="K159">
            <v>251625.42373635742</v>
          </cell>
          <cell r="L159">
            <v>16136.366612111333</v>
          </cell>
          <cell r="M159">
            <v>3835959.4748612228</v>
          </cell>
          <cell r="N159">
            <v>121300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8243</v>
          </cell>
          <cell r="Z159">
            <v>3965502.4748612228</v>
          </cell>
          <cell r="AA159">
            <v>0</v>
          </cell>
          <cell r="AC159">
            <v>-442</v>
          </cell>
          <cell r="AD159">
            <v>1426619.2332744501</v>
          </cell>
          <cell r="AE159">
            <v>2538883.2415867727</v>
          </cell>
          <cell r="AF159">
            <v>177</v>
          </cell>
          <cell r="AG159">
            <v>2886664</v>
          </cell>
          <cell r="AH159">
            <v>1078838.4748612228</v>
          </cell>
          <cell r="AI159">
            <v>0.37373191852644533</v>
          </cell>
          <cell r="AK159">
            <v>5355.591836734694</v>
          </cell>
          <cell r="AL159">
            <v>5538.4112777391383</v>
          </cell>
        </row>
        <row r="160">
          <cell r="A160">
            <v>3734008</v>
          </cell>
          <cell r="B160" t="str">
            <v>Recoupment Academy</v>
          </cell>
          <cell r="C160">
            <v>0</v>
          </cell>
          <cell r="D160">
            <v>4008</v>
          </cell>
          <cell r="E160" t="str">
            <v>Newfield Secondary School</v>
          </cell>
          <cell r="F160">
            <v>1032</v>
          </cell>
          <cell r="G160">
            <v>4917312</v>
          </cell>
          <cell r="H160">
            <v>172490.00000000015</v>
          </cell>
          <cell r="I160">
            <v>188759.27740475602</v>
          </cell>
          <cell r="J160">
            <v>331600.81868866936</v>
          </cell>
          <cell r="K160">
            <v>465838.64779440238</v>
          </cell>
          <cell r="L160">
            <v>15344.606413994175</v>
          </cell>
          <cell r="M160">
            <v>6091345.3503018217</v>
          </cell>
          <cell r="N160">
            <v>121300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575576.30012562661</v>
          </cell>
          <cell r="W160">
            <v>0</v>
          </cell>
          <cell r="X160">
            <v>0</v>
          </cell>
          <cell r="Y160">
            <v>31962</v>
          </cell>
          <cell r="Z160">
            <v>6820183.6504274486</v>
          </cell>
          <cell r="AA160">
            <v>0</v>
          </cell>
          <cell r="AC160">
            <v>4</v>
          </cell>
          <cell r="AD160">
            <v>6367213.4373446703</v>
          </cell>
          <cell r="AE160">
            <v>452970.21308277827</v>
          </cell>
          <cell r="AF160">
            <v>-10</v>
          </cell>
          <cell r="AG160">
            <v>6651998.3755932171</v>
          </cell>
          <cell r="AH160">
            <v>168185.27483423147</v>
          </cell>
          <cell r="AI160">
            <v>2.5283420911724579E-2</v>
          </cell>
          <cell r="AK160">
            <v>6383.8756003773678</v>
          </cell>
          <cell r="AL160">
            <v>6608.7050876234971</v>
          </cell>
        </row>
        <row r="161">
          <cell r="A161">
            <v>3735400</v>
          </cell>
          <cell r="B161" t="str">
            <v>Recoupment Academy</v>
          </cell>
          <cell r="C161">
            <v>0</v>
          </cell>
          <cell r="D161">
            <v>5400</v>
          </cell>
          <cell r="E161" t="str">
            <v>Notre Dame High School</v>
          </cell>
          <cell r="F161">
            <v>1066</v>
          </cell>
          <cell r="G161">
            <v>5078448</v>
          </cell>
          <cell r="H161">
            <v>55460.000000000211</v>
          </cell>
          <cell r="I161">
            <v>67133.784573515833</v>
          </cell>
          <cell r="J161">
            <v>216078.74530794853</v>
          </cell>
          <cell r="K161">
            <v>282339.36341435072</v>
          </cell>
          <cell r="L161">
            <v>7833.717579250726</v>
          </cell>
          <cell r="M161">
            <v>5707293.6108750664</v>
          </cell>
          <cell r="N161">
            <v>121300</v>
          </cell>
          <cell r="O161">
            <v>0</v>
          </cell>
          <cell r="P161">
            <v>61056.389124934067</v>
          </cell>
          <cell r="Q161">
            <v>61056.389124934067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23142</v>
          </cell>
          <cell r="Z161">
            <v>5912792</v>
          </cell>
          <cell r="AA161">
            <v>0</v>
          </cell>
          <cell r="AC161">
            <v>5</v>
          </cell>
          <cell r="AD161">
            <v>5355000</v>
          </cell>
          <cell r="AE161">
            <v>557792</v>
          </cell>
          <cell r="AF161">
            <v>1</v>
          </cell>
          <cell r="AG161">
            <v>5790569</v>
          </cell>
          <cell r="AH161">
            <v>122223</v>
          </cell>
          <cell r="AI161">
            <v>2.1107252154321968E-2</v>
          </cell>
          <cell r="AK161">
            <v>5437.1539906103289</v>
          </cell>
          <cell r="AL161">
            <v>5546.7091932457788</v>
          </cell>
        </row>
        <row r="162">
          <cell r="A162">
            <v>3734006</v>
          </cell>
          <cell r="B162" t="str">
            <v>Recoupment Academy</v>
          </cell>
          <cell r="C162">
            <v>0</v>
          </cell>
          <cell r="D162">
            <v>4006</v>
          </cell>
          <cell r="E162" t="str">
            <v>Outwood Academy City</v>
          </cell>
          <cell r="F162">
            <v>1128</v>
          </cell>
          <cell r="G162">
            <v>5374080</v>
          </cell>
          <cell r="H162">
            <v>196930.00000000009</v>
          </cell>
          <cell r="I162">
            <v>208376.29237753653</v>
          </cell>
          <cell r="J162">
            <v>444107.86361745605</v>
          </cell>
          <cell r="K162">
            <v>449281.21660592192</v>
          </cell>
          <cell r="L162">
            <v>21477.119999999923</v>
          </cell>
          <cell r="M162">
            <v>6694252.492600915</v>
          </cell>
          <cell r="N162">
            <v>121300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38495</v>
          </cell>
          <cell r="Z162">
            <v>6854047.492600915</v>
          </cell>
          <cell r="AA162">
            <v>0</v>
          </cell>
          <cell r="AC162">
            <v>-83</v>
          </cell>
          <cell r="AD162">
            <v>5769988.8305925401</v>
          </cell>
          <cell r="AE162">
            <v>1084058.6620083749</v>
          </cell>
          <cell r="AF162">
            <v>-8</v>
          </cell>
          <cell r="AG162">
            <v>6678407.5310094049</v>
          </cell>
          <cell r="AH162">
            <v>175639.9615915101</v>
          </cell>
          <cell r="AI162">
            <v>2.6299677097567462E-2</v>
          </cell>
          <cell r="AK162">
            <v>5878.8798688463075</v>
          </cell>
          <cell r="AL162">
            <v>6076.2832381213784</v>
          </cell>
        </row>
        <row r="163">
          <cell r="A163">
            <v>3736907</v>
          </cell>
          <cell r="B163" t="str">
            <v>Recoupment Academy</v>
          </cell>
          <cell r="C163">
            <v>0</v>
          </cell>
          <cell r="D163">
            <v>6907</v>
          </cell>
          <cell r="E163" t="str">
            <v>Parkwood E-Act Academy</v>
          </cell>
          <cell r="F163">
            <v>806</v>
          </cell>
          <cell r="G163">
            <v>3855888</v>
          </cell>
          <cell r="H163">
            <v>179539.99999999983</v>
          </cell>
          <cell r="I163">
            <v>194426.41506355914</v>
          </cell>
          <cell r="J163">
            <v>408248.73688144836</v>
          </cell>
          <cell r="K163">
            <v>454547.26728931948</v>
          </cell>
          <cell r="L163">
            <v>113642.98879202988</v>
          </cell>
          <cell r="M163">
            <v>5206293.4080263563</v>
          </cell>
          <cell r="N163">
            <v>121300</v>
          </cell>
          <cell r="O163">
            <v>28024.046441947587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31311</v>
          </cell>
          <cell r="Z163">
            <v>5386928.4544683043</v>
          </cell>
          <cell r="AA163">
            <v>0</v>
          </cell>
          <cell r="AC163">
            <v>53</v>
          </cell>
          <cell r="AD163">
            <v>5392079.7825058801</v>
          </cell>
          <cell r="AE163">
            <v>-5151.3280375758186</v>
          </cell>
          <cell r="AF163">
            <v>-9</v>
          </cell>
          <cell r="AG163">
            <v>5324354.1020696899</v>
          </cell>
          <cell r="AH163">
            <v>62574.352398614399</v>
          </cell>
          <cell r="AI163">
            <v>1.1752477614944959E-2</v>
          </cell>
          <cell r="AK163">
            <v>6532.9498184904169</v>
          </cell>
          <cell r="AL163">
            <v>6683.5340626157622</v>
          </cell>
        </row>
        <row r="164">
          <cell r="A164">
            <v>3736905</v>
          </cell>
          <cell r="B164" t="str">
            <v>Recoupment Academy</v>
          </cell>
          <cell r="C164">
            <v>0</v>
          </cell>
          <cell r="D164">
            <v>6905</v>
          </cell>
          <cell r="E164" t="str">
            <v>Sheffield Park Academy</v>
          </cell>
          <cell r="F164">
            <v>1010</v>
          </cell>
          <cell r="G164">
            <v>4811760</v>
          </cell>
          <cell r="H164">
            <v>229829.99999999991</v>
          </cell>
          <cell r="I164">
            <v>239327.58266792394</v>
          </cell>
          <cell r="J164">
            <v>546147.41748887161</v>
          </cell>
          <cell r="K164">
            <v>505737.05707738816</v>
          </cell>
          <cell r="L164">
            <v>44590.74626865668</v>
          </cell>
          <cell r="M164">
            <v>6377392.8035028409</v>
          </cell>
          <cell r="N164">
            <v>121300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44880</v>
          </cell>
          <cell r="Z164">
            <v>6543572.8035028409</v>
          </cell>
          <cell r="AA164">
            <v>0</v>
          </cell>
          <cell r="AC164">
            <v>-36</v>
          </cell>
          <cell r="AD164">
            <v>5966457.4382716399</v>
          </cell>
          <cell r="AE164">
            <v>577115.36523120105</v>
          </cell>
          <cell r="AF164">
            <v>-9</v>
          </cell>
          <cell r="AG164">
            <v>6433894.4155229479</v>
          </cell>
          <cell r="AH164">
            <v>109678.38797989301</v>
          </cell>
          <cell r="AI164">
            <v>1.7046967341471105E-2</v>
          </cell>
          <cell r="AK164">
            <v>6313.9297502678583</v>
          </cell>
          <cell r="AL164">
            <v>6478.7849539632089</v>
          </cell>
        </row>
        <row r="165">
          <cell r="A165">
            <v>3736906</v>
          </cell>
          <cell r="B165" t="str">
            <v>Recoupment Academy</v>
          </cell>
          <cell r="C165">
            <v>0</v>
          </cell>
          <cell r="D165">
            <v>6906</v>
          </cell>
          <cell r="E165" t="str">
            <v>Sheffield Springs Academy</v>
          </cell>
          <cell r="F165">
            <v>939</v>
          </cell>
          <cell r="G165">
            <v>4450536</v>
          </cell>
          <cell r="H165">
            <v>236409.99999999983</v>
          </cell>
          <cell r="I165">
            <v>258072.73030858079</v>
          </cell>
          <cell r="J165">
            <v>493554.18678234686</v>
          </cell>
          <cell r="K165">
            <v>577350.65577357099</v>
          </cell>
          <cell r="L165">
            <v>121146.22702702699</v>
          </cell>
          <cell r="M165">
            <v>6137069.7998915259</v>
          </cell>
          <cell r="N165">
            <v>121300</v>
          </cell>
          <cell r="O165">
            <v>49553.234083601332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43164</v>
          </cell>
          <cell r="Z165">
            <v>6351087.0339751281</v>
          </cell>
          <cell r="AA165">
            <v>0</v>
          </cell>
          <cell r="AC165">
            <v>-253</v>
          </cell>
          <cell r="AD165">
            <v>4303107.1388290999</v>
          </cell>
          <cell r="AE165">
            <v>2047979.8951460281</v>
          </cell>
          <cell r="AF165">
            <v>74</v>
          </cell>
          <cell r="AG165">
            <v>5640871.755247226</v>
          </cell>
          <cell r="AH165">
            <v>710215.2787279021</v>
          </cell>
          <cell r="AI165">
            <v>0.1259052340743696</v>
          </cell>
          <cell r="AK165">
            <v>6521.2390234071972</v>
          </cell>
          <cell r="AL165">
            <v>6763.6709626998172</v>
          </cell>
        </row>
        <row r="166">
          <cell r="A166">
            <v>3734229</v>
          </cell>
          <cell r="B166" t="str">
            <v>Recoupment Academy</v>
          </cell>
          <cell r="C166">
            <v>0</v>
          </cell>
          <cell r="D166">
            <v>4229</v>
          </cell>
          <cell r="E166" t="str">
            <v>Silverdale School</v>
          </cell>
          <cell r="F166">
            <v>1015</v>
          </cell>
          <cell r="G166">
            <v>4843656</v>
          </cell>
          <cell r="H166">
            <v>59220.000000000124</v>
          </cell>
          <cell r="I166">
            <v>65390.049909268746</v>
          </cell>
          <cell r="J166">
            <v>91082.549024875392</v>
          </cell>
          <cell r="K166">
            <v>230578.48603115603</v>
          </cell>
          <cell r="L166">
            <v>19015.714285714326</v>
          </cell>
          <cell r="M166">
            <v>5308942.7992510144</v>
          </cell>
          <cell r="N166">
            <v>121300</v>
          </cell>
          <cell r="O166">
            <v>0</v>
          </cell>
          <cell r="P166">
            <v>177632.20074898569</v>
          </cell>
          <cell r="Q166">
            <v>177632.20074898569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863364.45018843981</v>
          </cell>
          <cell r="W166">
            <v>0</v>
          </cell>
          <cell r="X166">
            <v>0</v>
          </cell>
          <cell r="Y166">
            <v>38705</v>
          </cell>
          <cell r="Z166">
            <v>6509944.4501884393</v>
          </cell>
          <cell r="AA166">
            <v>0</v>
          </cell>
          <cell r="AC166">
            <v>8</v>
          </cell>
          <cell r="AD166">
            <v>5922895.21566738</v>
          </cell>
          <cell r="AE166">
            <v>587049.23452105932</v>
          </cell>
          <cell r="AF166">
            <v>-61</v>
          </cell>
          <cell r="AG166">
            <v>6617716.6747144349</v>
          </cell>
          <cell r="AH166">
            <v>-107772.22452599555</v>
          </cell>
          <cell r="AI166">
            <v>-1.6285409276855463E-2</v>
          </cell>
          <cell r="AK166">
            <v>6150.2943073554225</v>
          </cell>
          <cell r="AL166">
            <v>6413.7383745698908</v>
          </cell>
        </row>
        <row r="167">
          <cell r="A167">
            <v>3734271</v>
          </cell>
          <cell r="B167" t="str">
            <v>Recoupment Academy</v>
          </cell>
          <cell r="C167">
            <v>0</v>
          </cell>
          <cell r="D167">
            <v>4271</v>
          </cell>
          <cell r="E167" t="str">
            <v>Stocksbridge High School</v>
          </cell>
          <cell r="F167">
            <v>798</v>
          </cell>
          <cell r="G167">
            <v>3795984</v>
          </cell>
          <cell r="H167">
            <v>94939.999999999811</v>
          </cell>
          <cell r="I167">
            <v>106367.81451907726</v>
          </cell>
          <cell r="J167">
            <v>147405.5454026091</v>
          </cell>
          <cell r="K167">
            <v>210372.23003446285</v>
          </cell>
          <cell r="L167">
            <v>1529.9999999999993</v>
          </cell>
          <cell r="M167">
            <v>4356599.5899561495</v>
          </cell>
          <cell r="N167">
            <v>121300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22118</v>
          </cell>
          <cell r="Z167">
            <v>4500017.5899561495</v>
          </cell>
          <cell r="AA167">
            <v>0</v>
          </cell>
          <cell r="AC167">
            <v>7</v>
          </cell>
          <cell r="AD167">
            <v>4031993.38769652</v>
          </cell>
          <cell r="AE167">
            <v>468024.2022596295</v>
          </cell>
          <cell r="AF167">
            <v>-2</v>
          </cell>
          <cell r="AG167">
            <v>4375581.5573618934</v>
          </cell>
          <cell r="AH167">
            <v>124436.0325942561</v>
          </cell>
          <cell r="AI167">
            <v>2.8438741447955215E-2</v>
          </cell>
          <cell r="AK167">
            <v>5469.4769467023671</v>
          </cell>
          <cell r="AL167">
            <v>5639.119786912468</v>
          </cell>
        </row>
        <row r="168">
          <cell r="A168">
            <v>3734234</v>
          </cell>
          <cell r="B168" t="str">
            <v>Recoupment Academy</v>
          </cell>
          <cell r="C168">
            <v>0</v>
          </cell>
          <cell r="D168">
            <v>4234</v>
          </cell>
          <cell r="E168" t="str">
            <v>Tapton School</v>
          </cell>
          <cell r="F168">
            <v>1354</v>
          </cell>
          <cell r="G168">
            <v>6445872</v>
          </cell>
          <cell r="H168">
            <v>86950.000000000044</v>
          </cell>
          <cell r="I168">
            <v>95905.406533593952</v>
          </cell>
          <cell r="J168">
            <v>105348.17900882913</v>
          </cell>
          <cell r="K168">
            <v>320547.06055415526</v>
          </cell>
          <cell r="L168">
            <v>53748.48035581904</v>
          </cell>
          <cell r="M168">
            <v>7108371.1264523976</v>
          </cell>
          <cell r="N168">
            <v>121300</v>
          </cell>
          <cell r="O168">
            <v>0</v>
          </cell>
          <cell r="P168">
            <v>251178.87354760212</v>
          </cell>
          <cell r="Q168">
            <v>251178.87354760212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533792.46394869627</v>
          </cell>
          <cell r="W168">
            <v>0</v>
          </cell>
          <cell r="X168">
            <v>0</v>
          </cell>
          <cell r="Y168">
            <v>46336</v>
          </cell>
          <cell r="Z168">
            <v>8060978.4639486969</v>
          </cell>
          <cell r="AA168">
            <v>0</v>
          </cell>
          <cell r="AC168">
            <v>-86</v>
          </cell>
          <cell r="AD168">
            <v>6818947.2107173502</v>
          </cell>
          <cell r="AE168">
            <v>1242031.2532313466</v>
          </cell>
          <cell r="AF168">
            <v>18</v>
          </cell>
          <cell r="AG168">
            <v>7735541.358889143</v>
          </cell>
          <cell r="AH168">
            <v>325437.10505955387</v>
          </cell>
          <cell r="AI168">
            <v>4.2070372319266879E-2</v>
          </cell>
          <cell r="AK168">
            <v>5790.0758674319932</v>
          </cell>
          <cell r="AL168">
            <v>5953.4552909517706</v>
          </cell>
        </row>
        <row r="169">
          <cell r="A169">
            <v>3734276</v>
          </cell>
          <cell r="B169" t="str">
            <v>Recoupment Academy</v>
          </cell>
          <cell r="C169">
            <v>0</v>
          </cell>
          <cell r="D169">
            <v>4276</v>
          </cell>
          <cell r="E169" t="str">
            <v>The Birley Academy</v>
          </cell>
          <cell r="F169">
            <v>1074</v>
          </cell>
          <cell r="G169">
            <v>5114736</v>
          </cell>
          <cell r="H169">
            <v>153220.00000000003</v>
          </cell>
          <cell r="I169">
            <v>159115.788112554</v>
          </cell>
          <cell r="J169">
            <v>260546.6640538543</v>
          </cell>
          <cell r="K169">
            <v>518724.27398430067</v>
          </cell>
          <cell r="L169">
            <v>16830.00000000004</v>
          </cell>
          <cell r="M169">
            <v>6223172.7261507092</v>
          </cell>
          <cell r="N169">
            <v>121300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37150</v>
          </cell>
          <cell r="Z169">
            <v>6381622.7261507092</v>
          </cell>
          <cell r="AA169">
            <v>0</v>
          </cell>
          <cell r="AB169">
            <v>170014688.55221826</v>
          </cell>
          <cell r="AC169">
            <v>65</v>
          </cell>
          <cell r="AD169">
            <v>6060633.8142186198</v>
          </cell>
          <cell r="AE169">
            <v>320988.91193208937</v>
          </cell>
          <cell r="AF169">
            <v>-5</v>
          </cell>
          <cell r="AG169">
            <v>6222373.5357962232</v>
          </cell>
          <cell r="AH169">
            <v>159249.190354486</v>
          </cell>
          <cell r="AI169">
            <v>2.5592997501412178E-2</v>
          </cell>
          <cell r="AK169">
            <v>5766.7966040743495</v>
          </cell>
          <cell r="AL169">
            <v>5941.9206016300832</v>
          </cell>
        </row>
        <row r="170">
          <cell r="A170">
            <v>3734004</v>
          </cell>
          <cell r="B170" t="str">
            <v>Recoupment Academy</v>
          </cell>
          <cell r="C170">
            <v>0</v>
          </cell>
          <cell r="D170">
            <v>4004</v>
          </cell>
          <cell r="E170" t="str">
            <v>UTC Sheffield City Centre</v>
          </cell>
          <cell r="F170">
            <v>313</v>
          </cell>
          <cell r="G170">
            <v>1536120</v>
          </cell>
          <cell r="H170">
            <v>28669.999999999996</v>
          </cell>
          <cell r="I170">
            <v>38362.162613437693</v>
          </cell>
          <cell r="J170">
            <v>82572.36049187652</v>
          </cell>
          <cell r="K170">
            <v>105606.65614135166</v>
          </cell>
          <cell r="L170">
            <v>5130.964285714279</v>
          </cell>
          <cell r="M170">
            <v>1796462.1435323802</v>
          </cell>
          <cell r="N170">
            <v>121300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28416</v>
          </cell>
          <cell r="Z170">
            <v>1946178.1435323802</v>
          </cell>
          <cell r="AA170">
            <v>0</v>
          </cell>
          <cell r="AB170">
            <v>4449127.6092484165</v>
          </cell>
          <cell r="AC170">
            <v>-11</v>
          </cell>
          <cell r="AD170">
            <v>1714885.5365036901</v>
          </cell>
          <cell r="AE170">
            <v>231292.60702869017</v>
          </cell>
          <cell r="AF170">
            <v>15</v>
          </cell>
          <cell r="AG170">
            <v>1819234.7279027912</v>
          </cell>
          <cell r="AH170">
            <v>126943.415629589</v>
          </cell>
          <cell r="AI170">
            <v>6.9778469860197215E-2</v>
          </cell>
          <cell r="AK170">
            <v>6104.8145231637291</v>
          </cell>
          <cell r="AL170">
            <v>6217.8215448318861</v>
          </cell>
        </row>
        <row r="171">
          <cell r="A171">
            <v>3734010</v>
          </cell>
          <cell r="B171" t="str">
            <v>Recoupment Academy</v>
          </cell>
          <cell r="C171">
            <v>0</v>
          </cell>
          <cell r="D171">
            <v>4010</v>
          </cell>
          <cell r="E171" t="str">
            <v>UTC Sheffield Olympic Legacy Park</v>
          </cell>
          <cell r="F171">
            <v>302</v>
          </cell>
          <cell r="G171">
            <v>1486800</v>
          </cell>
          <cell r="H171">
            <v>36190.000000000065</v>
          </cell>
          <cell r="I171">
            <v>40541.830943746689</v>
          </cell>
          <cell r="J171">
            <v>97583.549298717</v>
          </cell>
          <cell r="K171">
            <v>110084.12204737938</v>
          </cell>
          <cell r="L171">
            <v>14192.96928327647</v>
          </cell>
          <cell r="M171">
            <v>1785392.4715731195</v>
          </cell>
          <cell r="N171">
            <v>121300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27392</v>
          </cell>
          <cell r="Z171">
            <v>1934084.4715731195</v>
          </cell>
          <cell r="AA171">
            <v>0</v>
          </cell>
          <cell r="AB171">
            <v>6108430.521684845</v>
          </cell>
          <cell r="AC171">
            <v>4</v>
          </cell>
          <cell r="AD171">
            <v>1705632.2576796201</v>
          </cell>
          <cell r="AE171">
            <v>228452.21389349946</v>
          </cell>
          <cell r="AF171">
            <v>5</v>
          </cell>
          <cell r="AG171">
            <v>1853597.1971128189</v>
          </cell>
          <cell r="AH171">
            <v>80487.27446030057</v>
          </cell>
          <cell r="AI171">
            <v>4.3422203370650503E-2</v>
          </cell>
          <cell r="AK171">
            <v>6241.0680037468655</v>
          </cell>
          <cell r="AL171">
            <v>6404.2532171295352</v>
          </cell>
        </row>
        <row r="172">
          <cell r="A172">
            <v>3734013</v>
          </cell>
          <cell r="B172" t="str">
            <v>Recoupment Academy</v>
          </cell>
          <cell r="C172">
            <v>0</v>
          </cell>
          <cell r="D172">
            <v>4013</v>
          </cell>
          <cell r="E172" t="str">
            <v>Westfield School</v>
          </cell>
          <cell r="F172">
            <v>1191</v>
          </cell>
          <cell r="G172">
            <v>5651784</v>
          </cell>
          <cell r="H172">
            <v>125960.0000000001</v>
          </cell>
          <cell r="I172">
            <v>139934.70680583516</v>
          </cell>
          <cell r="J172">
            <v>187673.91237231862</v>
          </cell>
          <cell r="K172">
            <v>488992.82006263902</v>
          </cell>
          <cell r="L172">
            <v>3065.1471825063168</v>
          </cell>
          <cell r="M172">
            <v>6597410.5864233002</v>
          </cell>
          <cell r="N172">
            <v>121300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493481.15043349221</v>
          </cell>
          <cell r="W172">
            <v>0</v>
          </cell>
          <cell r="X172">
            <v>0</v>
          </cell>
          <cell r="Y172">
            <v>54272</v>
          </cell>
          <cell r="Z172">
            <v>7266463.7368567921</v>
          </cell>
          <cell r="AA172">
            <v>0</v>
          </cell>
          <cell r="AB172">
            <v>3756662.5050767553</v>
          </cell>
          <cell r="AC172">
            <v>-59</v>
          </cell>
          <cell r="AD172">
            <v>6267904.2304762704</v>
          </cell>
          <cell r="AE172">
            <v>998559.50638052169</v>
          </cell>
          <cell r="AF172">
            <v>49</v>
          </cell>
          <cell r="AG172">
            <v>6778991.4081787467</v>
          </cell>
          <cell r="AH172">
            <v>487472.32867804542</v>
          </cell>
          <cell r="AI172">
            <v>7.1909270764072331E-2</v>
          </cell>
          <cell r="AK172">
            <v>5936.0695343071338</v>
          </cell>
          <cell r="AL172">
            <v>6101.1450351442418</v>
          </cell>
        </row>
        <row r="173">
          <cell r="A173">
            <v>3734016</v>
          </cell>
          <cell r="B173" t="str">
            <v>Recoupment Academy</v>
          </cell>
          <cell r="C173">
            <v>0</v>
          </cell>
          <cell r="D173">
            <v>4016</v>
          </cell>
          <cell r="E173" t="str">
            <v>Yewlands Academy</v>
          </cell>
          <cell r="F173">
            <v>876</v>
          </cell>
          <cell r="G173">
            <v>4153824</v>
          </cell>
          <cell r="H173">
            <v>146169.99999999988</v>
          </cell>
          <cell r="I173">
            <v>157807.98711436862</v>
          </cell>
          <cell r="J173">
            <v>355217.39005837834</v>
          </cell>
          <cell r="K173">
            <v>382926.14928358968</v>
          </cell>
          <cell r="L173">
            <v>3067.0022883295183</v>
          </cell>
          <cell r="M173">
            <v>5199012.5287446668</v>
          </cell>
          <cell r="N173">
            <v>121300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25948</v>
          </cell>
          <cell r="Z173">
            <v>5346260.5287446668</v>
          </cell>
          <cell r="AA173">
            <v>0</v>
          </cell>
          <cell r="AB173">
            <v>184328909.18822831</v>
          </cell>
          <cell r="AC173">
            <v>-6</v>
          </cell>
          <cell r="AD173">
            <v>4837526.9939969499</v>
          </cell>
          <cell r="AE173">
            <v>508733.53474771697</v>
          </cell>
          <cell r="AF173">
            <v>8</v>
          </cell>
          <cell r="AG173">
            <v>5161602.4763766313</v>
          </cell>
          <cell r="AH173">
            <v>184658.05236803554</v>
          </cell>
          <cell r="AI173">
            <v>3.577533396133651E-2</v>
          </cell>
          <cell r="AK173">
            <v>5946.5466317703122</v>
          </cell>
          <cell r="AL173">
            <v>6103.0371332701679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Total Secondary</v>
          </cell>
          <cell r="F175">
            <v>27571</v>
          </cell>
          <cell r="G175">
            <v>131320104</v>
          </cell>
          <cell r="H175">
            <v>3678886.9230769235</v>
          </cell>
          <cell r="I175">
            <v>4017079.502934603</v>
          </cell>
          <cell r="J175">
            <v>7418262.5587317003</v>
          </cell>
          <cell r="K175">
            <v>10721230.646670818</v>
          </cell>
          <cell r="L175">
            <v>1067530.1392437064</v>
          </cell>
          <cell r="M175">
            <v>158223093.77065778</v>
          </cell>
          <cell r="N175">
            <v>3275100</v>
          </cell>
          <cell r="O175">
            <v>128298.20382158153</v>
          </cell>
          <cell r="Q175">
            <v>1167290.8946677849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5694069.0880276049</v>
          </cell>
          <cell r="W175">
            <v>361093.59504350001</v>
          </cell>
          <cell r="X175">
            <v>0</v>
          </cell>
          <cell r="Y175">
            <v>1165743</v>
          </cell>
          <cell r="Z175">
            <v>170014688.55221826</v>
          </cell>
          <cell r="AA175">
            <v>184328909.07182276</v>
          </cell>
          <cell r="AB175" t="str">
            <v>ISB Secondary</v>
          </cell>
          <cell r="AC175" t="e">
            <v>#N/A</v>
          </cell>
          <cell r="AD175" t="e">
            <v>#N/A</v>
          </cell>
          <cell r="AE175" t="e">
            <v>#N/A</v>
          </cell>
          <cell r="AF175">
            <v>264</v>
          </cell>
          <cell r="AG175">
            <v>163610732.83961785</v>
          </cell>
          <cell r="AH175">
            <v>6403955.71260041</v>
          </cell>
          <cell r="AI175">
            <v>3.9141415733880948E-2</v>
          </cell>
          <cell r="AK175">
            <v>5991.5308470215641</v>
          </cell>
          <cell r="AL175">
            <v>6166.4317054955663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Q176">
            <v>6</v>
          </cell>
          <cell r="S176">
            <v>0</v>
          </cell>
          <cell r="U176">
            <v>0</v>
          </cell>
          <cell r="AA176">
            <v>-0.11640551267191768</v>
          </cell>
          <cell r="AB176" t="str">
            <v>Sector Balance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Middle Deemed Secondary</v>
          </cell>
          <cell r="S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R178">
            <v>4790</v>
          </cell>
        </row>
        <row r="179">
          <cell r="A179">
            <v>3734014</v>
          </cell>
          <cell r="B179" t="str">
            <v>Recoupment Academy</v>
          </cell>
          <cell r="C179">
            <v>0</v>
          </cell>
          <cell r="D179">
            <v>4014</v>
          </cell>
          <cell r="E179" t="str">
            <v>Astrea Academy Sheffield</v>
          </cell>
          <cell r="F179">
            <v>891.5</v>
          </cell>
          <cell r="G179">
            <v>3960702.2415404073</v>
          </cell>
          <cell r="H179">
            <v>196607.79835566031</v>
          </cell>
          <cell r="I179">
            <v>216654.16890880754</v>
          </cell>
          <cell r="J179">
            <v>395382.66350710491</v>
          </cell>
          <cell r="K179">
            <v>377586.17519643286</v>
          </cell>
          <cell r="L179">
            <v>128817.76887871843</v>
          </cell>
          <cell r="M179">
            <v>5275750.8163871318</v>
          </cell>
          <cell r="N179">
            <v>121300</v>
          </cell>
          <cell r="O179">
            <v>33391.286148086496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7424</v>
          </cell>
          <cell r="Z179">
            <v>5437866.102535218</v>
          </cell>
          <cell r="AA179">
            <v>0</v>
          </cell>
          <cell r="AC179">
            <v>-537.5</v>
          </cell>
          <cell r="AD179">
            <v>1944163.25896557</v>
          </cell>
          <cell r="AE179">
            <v>3493702.843569648</v>
          </cell>
          <cell r="AF179">
            <v>211</v>
          </cell>
          <cell r="AG179">
            <v>3951978.9381976719</v>
          </cell>
          <cell r="AH179">
            <v>1485887.1643375461</v>
          </cell>
          <cell r="AI179">
            <v>0.37598559799389908</v>
          </cell>
          <cell r="AK179">
            <v>5807.4635388650577</v>
          </cell>
          <cell r="AL179">
            <v>6099.6815507966548</v>
          </cell>
        </row>
        <row r="180">
          <cell r="A180">
            <v>3734225</v>
          </cell>
          <cell r="B180" t="str">
            <v>Recoupment Academy</v>
          </cell>
          <cell r="C180">
            <v>0</v>
          </cell>
          <cell r="D180">
            <v>4225</v>
          </cell>
          <cell r="E180" t="str">
            <v>Hinde House 3-16 School</v>
          </cell>
          <cell r="F180">
            <v>1282</v>
          </cell>
          <cell r="G180">
            <v>5512982.8833558876</v>
          </cell>
          <cell r="H180">
            <v>250133.98992952053</v>
          </cell>
          <cell r="I180">
            <v>293790.02846899605</v>
          </cell>
          <cell r="J180">
            <v>527534.99768975517</v>
          </cell>
          <cell r="K180">
            <v>654283.447117612</v>
          </cell>
          <cell r="L180">
            <v>97500.53900163222</v>
          </cell>
          <cell r="M180">
            <v>7336225.8855634034</v>
          </cell>
          <cell r="N180">
            <v>121300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698746.66621825134</v>
          </cell>
          <cell r="W180">
            <v>181746.403735</v>
          </cell>
          <cell r="X180">
            <v>0</v>
          </cell>
          <cell r="Y180">
            <v>45646</v>
          </cell>
          <cell r="Z180">
            <v>8383664.955516655</v>
          </cell>
          <cell r="AA180">
            <v>0</v>
          </cell>
          <cell r="AC180">
            <v>-18</v>
          </cell>
          <cell r="AD180">
            <v>7736385.5079564499</v>
          </cell>
          <cell r="AE180">
            <v>647279.44756020512</v>
          </cell>
          <cell r="AF180">
            <v>8</v>
          </cell>
          <cell r="AG180">
            <v>8051621.4903911054</v>
          </cell>
          <cell r="AH180">
            <v>332043.46512554958</v>
          </cell>
          <cell r="AI180">
            <v>4.1239328689483719E-2</v>
          </cell>
          <cell r="AK180">
            <v>6319.9540740903494</v>
          </cell>
          <cell r="AL180">
            <v>6539.5202461128356</v>
          </cell>
        </row>
        <row r="181">
          <cell r="A181">
            <v>3734005</v>
          </cell>
          <cell r="B181" t="str">
            <v>Recoupment Academy</v>
          </cell>
          <cell r="C181">
            <v>0</v>
          </cell>
          <cell r="D181">
            <v>4005</v>
          </cell>
          <cell r="E181" t="str">
            <v>Oasis Academy Don Valley</v>
          </cell>
          <cell r="F181">
            <v>997.75</v>
          </cell>
          <cell r="G181">
            <v>4162700.2832871201</v>
          </cell>
          <cell r="H181">
            <v>187019.16551668412</v>
          </cell>
          <cell r="I181">
            <v>218010.5521458282</v>
          </cell>
          <cell r="J181">
            <v>452614.99531378585</v>
          </cell>
          <cell r="K181">
            <v>374016.41245610837</v>
          </cell>
          <cell r="L181">
            <v>84401.99424846629</v>
          </cell>
          <cell r="M181">
            <v>5478763.4029679932</v>
          </cell>
          <cell r="N181">
            <v>121300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50000</v>
          </cell>
          <cell r="X181">
            <v>0</v>
          </cell>
          <cell r="Y181">
            <v>31159</v>
          </cell>
          <cell r="Z181">
            <v>5681222.4029679932</v>
          </cell>
          <cell r="AA181">
            <v>0</v>
          </cell>
          <cell r="AC181">
            <v>-401.75</v>
          </cell>
          <cell r="AD181">
            <v>3025321.1361749098</v>
          </cell>
          <cell r="AE181">
            <v>2655901.2667930834</v>
          </cell>
          <cell r="AF181">
            <v>138.33333333333337</v>
          </cell>
          <cell r="AG181">
            <v>4683145.9364684606</v>
          </cell>
          <cell r="AH181">
            <v>998076.46649953257</v>
          </cell>
          <cell r="AI181">
            <v>0.21312094050440325</v>
          </cell>
          <cell r="AK181">
            <v>5449.21470354131</v>
          </cell>
          <cell r="AL181">
            <v>5694.0339794216916</v>
          </cell>
        </row>
        <row r="182">
          <cell r="D182">
            <v>0</v>
          </cell>
          <cell r="E182">
            <v>0</v>
          </cell>
        </row>
        <row r="183">
          <cell r="D183">
            <v>0</v>
          </cell>
          <cell r="E183" t="str">
            <v>Total Middle Deemed Secondary</v>
          </cell>
          <cell r="F183">
            <v>3171.25</v>
          </cell>
          <cell r="G183">
            <v>13636385.408183414</v>
          </cell>
          <cell r="H183">
            <v>633760.95380186499</v>
          </cell>
          <cell r="I183">
            <v>728454.74952363176</v>
          </cell>
          <cell r="J183">
            <v>1375532.656510646</v>
          </cell>
          <cell r="K183">
            <v>1405886.0347701532</v>
          </cell>
          <cell r="L183">
            <v>310720.30212881695</v>
          </cell>
          <cell r="M183">
            <v>18090740.104918528</v>
          </cell>
          <cell r="N183">
            <v>363900</v>
          </cell>
          <cell r="O183">
            <v>33391.286148086496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698746.66621825134</v>
          </cell>
          <cell r="W183">
            <v>231746.403735</v>
          </cell>
          <cell r="X183">
            <v>0</v>
          </cell>
          <cell r="Y183">
            <v>84229</v>
          </cell>
          <cell r="Z183">
            <v>19502753.461019862</v>
          </cell>
        </row>
        <row r="184">
          <cell r="D184">
            <v>0</v>
          </cell>
          <cell r="E184">
            <v>0</v>
          </cell>
        </row>
        <row r="185">
          <cell r="D185">
            <v>0</v>
          </cell>
          <cell r="E185" t="str">
            <v>Total All Schools</v>
          </cell>
          <cell r="F185">
            <v>73809.25</v>
          </cell>
          <cell r="G185">
            <v>291938500.51237082</v>
          </cell>
          <cell r="H185">
            <v>9328405.5756494924</v>
          </cell>
          <cell r="I185">
            <v>11667068.093314715</v>
          </cell>
          <cell r="J185">
            <v>16909986.248684809</v>
          </cell>
          <cell r="K185">
            <v>26641854.377078548</v>
          </cell>
          <cell r="L185">
            <v>4501844.7096444163</v>
          </cell>
          <cell r="M185">
            <v>360987659.51674283</v>
          </cell>
          <cell r="N185">
            <v>19771900</v>
          </cell>
          <cell r="O185">
            <v>574069.77533013886</v>
          </cell>
          <cell r="P185">
            <v>0</v>
          </cell>
          <cell r="Q185">
            <v>3102099.1906450111</v>
          </cell>
          <cell r="R185">
            <v>0</v>
          </cell>
          <cell r="S185">
            <v>0</v>
          </cell>
          <cell r="T185">
            <v>673677.85486865521</v>
          </cell>
          <cell r="U185">
            <v>673677.85486865521</v>
          </cell>
          <cell r="V185">
            <v>6835940.6748385346</v>
          </cell>
          <cell r="W185">
            <v>685338.06641122501</v>
          </cell>
          <cell r="X185">
            <v>20578.371161548726</v>
          </cell>
          <cell r="Y185">
            <v>3225162.55</v>
          </cell>
          <cell r="Z185">
            <v>395876425.99999791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U186">
            <v>673677.85486865521</v>
          </cell>
          <cell r="V186" t="str">
            <v>MFG Ok</v>
          </cell>
          <cell r="W186">
            <v>0</v>
          </cell>
          <cell r="Z186">
            <v>0</v>
          </cell>
        </row>
        <row r="187">
          <cell r="G187">
            <v>0.73744856055756236</v>
          </cell>
          <cell r="H187">
            <v>5.3035422899782157E-2</v>
          </cell>
          <cell r="J187">
            <v>4.2715315027838756E-2</v>
          </cell>
          <cell r="K187">
            <v>35448878.339999996</v>
          </cell>
          <cell r="L187">
            <v>19634796.501578674</v>
          </cell>
          <cell r="M187">
            <v>15814081.838421322</v>
          </cell>
          <cell r="U187">
            <v>-3.880821168422699E-6</v>
          </cell>
          <cell r="V187">
            <v>0</v>
          </cell>
        </row>
        <row r="188">
          <cell r="K188">
            <v>0.55389048740148872</v>
          </cell>
          <cell r="L188">
            <v>0.44610951259851128</v>
          </cell>
          <cell r="V188" t="str">
            <v>PFI Ok</v>
          </cell>
        </row>
        <row r="189">
          <cell r="D189">
            <v>4014</v>
          </cell>
          <cell r="E189" t="str">
            <v>Astrea 3-16 Academy - Pri</v>
          </cell>
          <cell r="F189">
            <v>196</v>
          </cell>
          <cell r="G189">
            <v>668922.24154040741</v>
          </cell>
          <cell r="H189">
            <v>28326.54013197621</v>
          </cell>
          <cell r="I189">
            <v>37132.670046058345</v>
          </cell>
          <cell r="J189">
            <v>58579.60663203169</v>
          </cell>
          <cell r="K189">
            <v>82029.629629629635</v>
          </cell>
          <cell r="L189">
            <v>61198.421052631536</v>
          </cell>
          <cell r="M189">
            <v>936189.109032735</v>
          </cell>
          <cell r="N189">
            <v>26668.311833987664</v>
          </cell>
          <cell r="O189">
            <v>24248.875</v>
          </cell>
          <cell r="P189">
            <v>0</v>
          </cell>
          <cell r="Q189">
            <v>0</v>
          </cell>
          <cell r="S189">
            <v>0</v>
          </cell>
          <cell r="U189">
            <v>0</v>
          </cell>
          <cell r="X189">
            <v>0</v>
          </cell>
          <cell r="Y189">
            <v>1632.1974200785196</v>
          </cell>
          <cell r="Z189">
            <v>988738.49328680127</v>
          </cell>
        </row>
        <row r="190">
          <cell r="D190">
            <v>4014</v>
          </cell>
          <cell r="E190" t="str">
            <v>Astrea 3-16 Academy - Sec</v>
          </cell>
          <cell r="F190">
            <v>695.5</v>
          </cell>
          <cell r="G190">
            <v>3291780</v>
          </cell>
          <cell r="H190">
            <v>168281.2582236841</v>
          </cell>
          <cell r="I190">
            <v>179521.4988627492</v>
          </cell>
          <cell r="J190">
            <v>336803.05687507323</v>
          </cell>
          <cell r="K190">
            <v>295556.54556680319</v>
          </cell>
          <cell r="L190">
            <v>67619.347826086901</v>
          </cell>
          <cell r="M190">
            <v>4339561.7073543966</v>
          </cell>
          <cell r="N190">
            <v>94631.688166012347</v>
          </cell>
          <cell r="O190">
            <v>9142.4111480864922</v>
          </cell>
          <cell r="P190">
            <v>0</v>
          </cell>
          <cell r="Q190">
            <v>0</v>
          </cell>
          <cell r="S190">
            <v>0</v>
          </cell>
          <cell r="U190">
            <v>0</v>
          </cell>
          <cell r="X190">
            <v>0</v>
          </cell>
          <cell r="Y190">
            <v>5791.8025799214811</v>
          </cell>
          <cell r="Z190">
            <v>4449127.6092484165</v>
          </cell>
        </row>
        <row r="191">
          <cell r="F191">
            <v>891.5</v>
          </cell>
          <cell r="G191">
            <v>3960702.2415404073</v>
          </cell>
          <cell r="H191">
            <v>196607.79835566031</v>
          </cell>
          <cell r="I191">
            <v>216654.16890880754</v>
          </cell>
          <cell r="J191">
            <v>395382.66350710491</v>
          </cell>
          <cell r="K191">
            <v>377586.17519643286</v>
          </cell>
          <cell r="L191">
            <v>128817.76887871843</v>
          </cell>
          <cell r="M191">
            <v>5275750.8163871318</v>
          </cell>
          <cell r="N191">
            <v>121300</v>
          </cell>
          <cell r="O191">
            <v>33391.286148086496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7424.0000000000009</v>
          </cell>
          <cell r="Z191">
            <v>5437866.102535218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Z192">
            <v>0</v>
          </cell>
        </row>
        <row r="193">
          <cell r="D193">
            <v>4225</v>
          </cell>
          <cell r="E193" t="str">
            <v>Hinde House 3-16 - Pri</v>
          </cell>
          <cell r="F193">
            <v>427</v>
          </cell>
          <cell r="G193">
            <v>1457294.8833558876</v>
          </cell>
          <cell r="H193">
            <v>68713.989929520336</v>
          </cell>
          <cell r="I193">
            <v>96748.011409066035</v>
          </cell>
          <cell r="J193">
            <v>151292.21699205888</v>
          </cell>
          <cell r="K193">
            <v>168671.11747851004</v>
          </cell>
          <cell r="L193">
            <v>45358.569482288753</v>
          </cell>
          <cell r="M193">
            <v>1988078.7886473315</v>
          </cell>
          <cell r="N193">
            <v>40401.794071762866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U193">
            <v>0</v>
          </cell>
          <cell r="V193">
            <v>176923.97248958956</v>
          </cell>
          <cell r="W193">
            <v>60534.878623124023</v>
          </cell>
          <cell r="Y193">
            <v>9295</v>
          </cell>
          <cell r="Z193">
            <v>2275234.4338318082</v>
          </cell>
        </row>
        <row r="194">
          <cell r="D194">
            <v>4225</v>
          </cell>
          <cell r="E194" t="str">
            <v>Hinde House 3-16 Sec</v>
          </cell>
          <cell r="F194">
            <v>855</v>
          </cell>
          <cell r="G194">
            <v>4055688</v>
          </cell>
          <cell r="H194">
            <v>181420.00000000017</v>
          </cell>
          <cell r="I194">
            <v>197042.01705992999</v>
          </cell>
          <cell r="J194">
            <v>376242.78069769626</v>
          </cell>
          <cell r="K194">
            <v>485612.32963910192</v>
          </cell>
          <cell r="L194">
            <v>52141.969519343475</v>
          </cell>
          <cell r="M194">
            <v>5348147.0969160711</v>
          </cell>
          <cell r="N194">
            <v>80898.205928237134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U194">
            <v>0</v>
          </cell>
          <cell r="V194">
            <v>521822.6937286618</v>
          </cell>
          <cell r="W194">
            <v>121211.52511187596</v>
          </cell>
          <cell r="Y194">
            <v>36351</v>
          </cell>
          <cell r="Z194">
            <v>6108430.521684845</v>
          </cell>
        </row>
        <row r="195">
          <cell r="F195">
            <v>1282</v>
          </cell>
          <cell r="G195">
            <v>5512982.8833558876</v>
          </cell>
          <cell r="H195">
            <v>250133.98992952053</v>
          </cell>
          <cell r="I195">
            <v>293790.02846899605</v>
          </cell>
          <cell r="J195">
            <v>527534.99768975517</v>
          </cell>
          <cell r="K195">
            <v>654283.447117612</v>
          </cell>
          <cell r="L195">
            <v>97500.53900163222</v>
          </cell>
          <cell r="M195">
            <v>7336225.8855634034</v>
          </cell>
          <cell r="N195">
            <v>121300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U195">
            <v>0</v>
          </cell>
          <cell r="V195">
            <v>698746.66621825134</v>
          </cell>
          <cell r="W195">
            <v>181746.403735</v>
          </cell>
          <cell r="X195">
            <v>0</v>
          </cell>
          <cell r="Y195">
            <v>45646</v>
          </cell>
          <cell r="Z195">
            <v>8383664.955516655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Z196">
            <v>0</v>
          </cell>
        </row>
        <row r="197">
          <cell r="D197">
            <v>4005</v>
          </cell>
          <cell r="E197" t="str">
            <v>Oasis Academy Don Valley</v>
          </cell>
          <cell r="F197">
            <v>418.25</v>
          </cell>
          <cell r="G197">
            <v>1427432.2832871194</v>
          </cell>
          <cell r="H197">
            <v>52497.427711806129</v>
          </cell>
          <cell r="I197">
            <v>77835.284384025974</v>
          </cell>
          <cell r="J197">
            <v>144952.12941520163</v>
          </cell>
          <cell r="K197">
            <v>105832.64570552149</v>
          </cell>
          <cell r="L197">
            <v>35446.6875</v>
          </cell>
          <cell r="M197">
            <v>1843996.4580036746</v>
          </cell>
          <cell r="N197">
            <v>50848.133299924833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U197">
            <v>0</v>
          </cell>
          <cell r="W197">
            <v>16653.666146645865</v>
          </cell>
          <cell r="X197">
            <v>0</v>
          </cell>
          <cell r="Y197">
            <v>13061.640440992232</v>
          </cell>
          <cell r="Z197">
            <v>1924559.8978912374</v>
          </cell>
        </row>
        <row r="198">
          <cell r="D198">
            <v>4005</v>
          </cell>
          <cell r="E198" t="str">
            <v>Oasis Academy Don Valley</v>
          </cell>
          <cell r="F198">
            <v>579.5</v>
          </cell>
          <cell r="G198">
            <v>2735268.0000000005</v>
          </cell>
          <cell r="H198">
            <v>134521.73780487798</v>
          </cell>
          <cell r="I198">
            <v>140175.26776180224</v>
          </cell>
          <cell r="J198">
            <v>307662.86589858419</v>
          </cell>
          <cell r="K198">
            <v>268183.76675058692</v>
          </cell>
          <cell r="L198">
            <v>48955.30674846629</v>
          </cell>
          <cell r="M198">
            <v>3634766.9449643181</v>
          </cell>
          <cell r="N198">
            <v>70451.866700075174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U198">
            <v>0</v>
          </cell>
          <cell r="W198">
            <v>33346.333853354132</v>
          </cell>
          <cell r="X198">
            <v>0</v>
          </cell>
          <cell r="Y198">
            <v>18097.359559007768</v>
          </cell>
          <cell r="Z198">
            <v>3756662.5050767553</v>
          </cell>
        </row>
        <row r="199">
          <cell r="F199">
            <v>997.75</v>
          </cell>
          <cell r="G199">
            <v>4162700.2832871201</v>
          </cell>
          <cell r="H199">
            <v>187019.16551668412</v>
          </cell>
          <cell r="I199">
            <v>218010.5521458282</v>
          </cell>
          <cell r="J199">
            <v>452614.99531378585</v>
          </cell>
          <cell r="K199">
            <v>374016.41245610837</v>
          </cell>
          <cell r="L199">
            <v>84401.99424846629</v>
          </cell>
          <cell r="M199">
            <v>5478763.4029679932</v>
          </cell>
          <cell r="N199">
            <v>121300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50000</v>
          </cell>
          <cell r="X199">
            <v>0</v>
          </cell>
          <cell r="Y199">
            <v>31159</v>
          </cell>
          <cell r="Z199">
            <v>5681222.4029679932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Z200">
            <v>0</v>
          </cell>
        </row>
        <row r="202">
          <cell r="F202" t="str">
            <v>AWPU Fund</v>
          </cell>
          <cell r="K202" t="str">
            <v>2022-23</v>
          </cell>
          <cell r="L202" t="str">
            <v>NOR</v>
          </cell>
          <cell r="R202" t="str">
            <v>Min</v>
          </cell>
          <cell r="S202" t="e">
            <v>#NUM!</v>
          </cell>
          <cell r="U202">
            <v>598.80502895478639</v>
          </cell>
          <cell r="X202" t="str">
            <v>Pri</v>
          </cell>
          <cell r="Z202">
            <v>206358983.98675978</v>
          </cell>
        </row>
        <row r="203">
          <cell r="F203">
            <v>150535660.5123708</v>
          </cell>
          <cell r="G203">
            <v>150535660.51237077</v>
          </cell>
          <cell r="H203">
            <v>0</v>
          </cell>
          <cell r="I203">
            <v>0</v>
          </cell>
          <cell r="J203">
            <v>0.59759786205658505</v>
          </cell>
          <cell r="K203" t="str">
            <v>Primary</v>
          </cell>
          <cell r="L203">
            <v>44108.25</v>
          </cell>
          <cell r="R203" t="str">
            <v>Max</v>
          </cell>
          <cell r="S203">
            <v>0</v>
          </cell>
          <cell r="T203" t="e">
            <v>#REF!</v>
          </cell>
          <cell r="U203">
            <v>99855.819235424016</v>
          </cell>
          <cell r="X203" t="str">
            <v>Pri 3-16</v>
          </cell>
          <cell r="Z203">
            <v>5188532.8250098471</v>
          </cell>
        </row>
        <row r="204">
          <cell r="F204">
            <v>141402840.00000003</v>
          </cell>
          <cell r="G204">
            <v>141402840</v>
          </cell>
          <cell r="H204">
            <v>0</v>
          </cell>
          <cell r="I204">
            <v>0</v>
          </cell>
          <cell r="J204">
            <v>0.40240213794341495</v>
          </cell>
          <cell r="K204" t="str">
            <v>Secondary</v>
          </cell>
          <cell r="L204">
            <v>29701</v>
          </cell>
          <cell r="R204" t="str">
            <v>Min</v>
          </cell>
          <cell r="S204" t="e">
            <v>#NUM!</v>
          </cell>
          <cell r="U204" t="e">
            <v>#NUM!</v>
          </cell>
          <cell r="Z204">
            <v>211547516.81176963</v>
          </cell>
        </row>
        <row r="205">
          <cell r="F205">
            <v>291938500.51237082</v>
          </cell>
          <cell r="G205">
            <v>291938500.51237077</v>
          </cell>
          <cell r="H205">
            <v>0</v>
          </cell>
          <cell r="L205">
            <v>73809.25</v>
          </cell>
          <cell r="M205">
            <v>0</v>
          </cell>
          <cell r="R205" t="str">
            <v>Max</v>
          </cell>
          <cell r="S205">
            <v>0</v>
          </cell>
          <cell r="U205">
            <v>0</v>
          </cell>
        </row>
        <row r="206">
          <cell r="G206">
            <v>0</v>
          </cell>
          <cell r="H206">
            <v>0</v>
          </cell>
          <cell r="K206" t="str">
            <v>2021-22</v>
          </cell>
          <cell r="X206" t="str">
            <v>Sec</v>
          </cell>
          <cell r="Z206">
            <v>170014688.55221826</v>
          </cell>
        </row>
        <row r="207">
          <cell r="J207">
            <v>0.59759786205658505</v>
          </cell>
          <cell r="K207" t="str">
            <v>Primary</v>
          </cell>
          <cell r="L207">
            <v>44108.25</v>
          </cell>
          <cell r="S207" t="e">
            <v>#NUM!</v>
          </cell>
          <cell r="X207" t="str">
            <v>Sec 3-16</v>
          </cell>
          <cell r="Z207">
            <v>14314220.636010017</v>
          </cell>
        </row>
        <row r="208">
          <cell r="J208">
            <v>0.40240213794341495</v>
          </cell>
          <cell r="K208" t="str">
            <v>Secondary</v>
          </cell>
          <cell r="L208">
            <v>29701</v>
          </cell>
          <cell r="Z208">
            <v>184328909.18822828</v>
          </cell>
        </row>
        <row r="209">
          <cell r="L209">
            <v>73809.25</v>
          </cell>
        </row>
        <row r="210">
          <cell r="X210" t="str">
            <v>Total</v>
          </cell>
          <cell r="Z210">
            <v>395876425.99999791</v>
          </cell>
        </row>
        <row r="211">
          <cell r="Z211">
            <v>0</v>
          </cell>
        </row>
        <row r="212">
          <cell r="M212">
            <v>0.91970558183070439</v>
          </cell>
        </row>
        <row r="213">
          <cell r="E213" t="str">
            <v>2022-23</v>
          </cell>
          <cell r="F213">
            <v>73809.25</v>
          </cell>
          <cell r="G213">
            <v>291938500.51237082</v>
          </cell>
          <cell r="H213">
            <v>9328405.5756494924</v>
          </cell>
          <cell r="I213">
            <v>11667068.093314715</v>
          </cell>
          <cell r="J213">
            <v>16909986.248684809</v>
          </cell>
          <cell r="K213">
            <v>26641854.377078548</v>
          </cell>
          <cell r="L213">
            <v>4501844.7096444163</v>
          </cell>
          <cell r="M213">
            <v>360987659.51674283</v>
          </cell>
          <cell r="N213">
            <v>19771900</v>
          </cell>
          <cell r="O213">
            <v>574069.77533013886</v>
          </cell>
          <cell r="Q213">
            <v>3102099.1906450111</v>
          </cell>
          <cell r="S213">
            <v>0</v>
          </cell>
          <cell r="U213">
            <v>673677.85486865521</v>
          </cell>
          <cell r="V213">
            <v>6835940.6748385346</v>
          </cell>
          <cell r="W213">
            <v>685338.06641122501</v>
          </cell>
          <cell r="X213">
            <v>20578.371161548726</v>
          </cell>
          <cell r="Y213">
            <v>3225162.55</v>
          </cell>
          <cell r="Z213">
            <v>395876425.99999791</v>
          </cell>
        </row>
        <row r="214">
          <cell r="E214" t="str">
            <v>2021-22</v>
          </cell>
          <cell r="F214">
            <v>73435.916666666672</v>
          </cell>
          <cell r="G214">
            <v>286399973.15144563</v>
          </cell>
          <cell r="H214">
            <v>8209531.4118871409</v>
          </cell>
          <cell r="I214">
            <v>8209531.4118871428</v>
          </cell>
          <cell r="J214">
            <v>16419062.823774282</v>
          </cell>
          <cell r="K214">
            <v>25856314.040643226</v>
          </cell>
          <cell r="L214">
            <v>4229265.6586153321</v>
          </cell>
          <cell r="M214">
            <v>349323678.49825275</v>
          </cell>
          <cell r="N214">
            <v>19560000</v>
          </cell>
          <cell r="O214">
            <v>224410.4268668509</v>
          </cell>
          <cell r="P214">
            <v>0</v>
          </cell>
          <cell r="Q214">
            <v>2830108.4112037038</v>
          </cell>
          <cell r="R214">
            <v>0</v>
          </cell>
          <cell r="S214">
            <v>0</v>
          </cell>
          <cell r="T214">
            <v>542850.07556556712</v>
          </cell>
          <cell r="U214">
            <v>542850.07556556712</v>
          </cell>
          <cell r="V214">
            <v>6009213.2631811835</v>
          </cell>
          <cell r="W214">
            <v>715033.52512000001</v>
          </cell>
          <cell r="X214">
            <v>0</v>
          </cell>
          <cell r="Y214">
            <v>3179056</v>
          </cell>
          <cell r="Z214">
            <v>379205294.20019007</v>
          </cell>
        </row>
        <row r="215">
          <cell r="E215" t="str">
            <v>£ Var</v>
          </cell>
          <cell r="F215">
            <v>373.33333333332848</v>
          </cell>
          <cell r="G215">
            <v>5538527.3609251976</v>
          </cell>
          <cell r="H215">
            <v>1118874.1637623515</v>
          </cell>
          <cell r="I215">
            <v>3457536.6814275719</v>
          </cell>
          <cell r="J215">
            <v>490923.42491052672</v>
          </cell>
          <cell r="K215">
            <v>785540.33643532172</v>
          </cell>
          <cell r="L215">
            <v>272579.05102908425</v>
          </cell>
          <cell r="M215">
            <v>11663981.018490076</v>
          </cell>
          <cell r="N215">
            <v>211900</v>
          </cell>
          <cell r="O215">
            <v>349659.34846328793</v>
          </cell>
          <cell r="Q215">
            <v>271990.7794413073</v>
          </cell>
          <cell r="S215">
            <v>0</v>
          </cell>
          <cell r="U215">
            <v>130827.77930308809</v>
          </cell>
          <cell r="V215">
            <v>826727.41165735107</v>
          </cell>
          <cell r="W215">
            <v>-29695.458708774997</v>
          </cell>
          <cell r="X215">
            <v>20578.371161548726</v>
          </cell>
          <cell r="Y215">
            <v>46106.549999999814</v>
          </cell>
          <cell r="Z215">
            <v>16671131.799807847</v>
          </cell>
        </row>
        <row r="216">
          <cell r="E216" t="str">
            <v>% Var</v>
          </cell>
          <cell r="F216">
            <v>5.0837975513797649E-3</v>
          </cell>
          <cell r="G216">
            <v>1.9338435335664213E-2</v>
          </cell>
          <cell r="H216">
            <v>0.13628965011842908</v>
          </cell>
          <cell r="I216">
            <v>0.42116127071773762</v>
          </cell>
          <cell r="J216">
            <v>2.9899600859050565E-2</v>
          </cell>
          <cell r="K216">
            <v>3.0380986833643046E-2</v>
          </cell>
          <cell r="L216">
            <v>6.4450680811175873E-2</v>
          </cell>
          <cell r="M216">
            <v>3.3390181474767723E-2</v>
          </cell>
          <cell r="N216">
            <v>1.0833333333333334E-2</v>
          </cell>
          <cell r="O216">
            <v>1.5581243409458456</v>
          </cell>
          <cell r="Q216">
            <v>9.6106134438017507E-2</v>
          </cell>
          <cell r="S216" t="e">
            <v>#DIV/0!</v>
          </cell>
          <cell r="U216">
            <v>0.24100167834882488</v>
          </cell>
          <cell r="V216">
            <v>0.13757664696687674</v>
          </cell>
          <cell r="W216">
            <v>-4.1530162804312397E-2</v>
          </cell>
          <cell r="X216" t="e">
            <v>#DIV/0!</v>
          </cell>
          <cell r="Y216">
            <v>1.4503220452863936E-2</v>
          </cell>
          <cell r="Z216">
            <v>4.3963341374149756E-2</v>
          </cell>
        </row>
        <row r="217">
          <cell r="E217" t="str">
            <v>£m</v>
          </cell>
          <cell r="G217">
            <v>5.5385273609251975</v>
          </cell>
          <cell r="H217">
            <v>1.1188741637623516</v>
          </cell>
          <cell r="I217">
            <v>3.4575366814275719</v>
          </cell>
          <cell r="J217">
            <v>0.49092342491052671</v>
          </cell>
          <cell r="K217">
            <v>0.78554033643532173</v>
          </cell>
          <cell r="L217">
            <v>0.27257905102908425</v>
          </cell>
          <cell r="M217">
            <v>11.663981018490077</v>
          </cell>
          <cell r="N217">
            <v>0.21190000000000001</v>
          </cell>
          <cell r="O217">
            <v>0.34965934846328794</v>
          </cell>
          <cell r="P217">
            <v>0</v>
          </cell>
          <cell r="Q217">
            <v>0.27199077944130728</v>
          </cell>
          <cell r="R217">
            <v>0</v>
          </cell>
          <cell r="S217">
            <v>0</v>
          </cell>
          <cell r="T217">
            <v>0</v>
          </cell>
          <cell r="U217">
            <v>0.13082777930308809</v>
          </cell>
          <cell r="V217">
            <v>0.82672741165735109</v>
          </cell>
          <cell r="W217">
            <v>-2.9695458708774998E-2</v>
          </cell>
          <cell r="X217">
            <v>2.0578371161548727E-2</v>
          </cell>
          <cell r="Y217">
            <v>4.6106549999999816E-2</v>
          </cell>
          <cell r="Z217">
            <v>16.671131799807846</v>
          </cell>
        </row>
        <row r="219">
          <cell r="E219" t="str">
            <v>Primary Maintained</v>
          </cell>
          <cell r="F219">
            <v>20128</v>
          </cell>
          <cell r="G219">
            <v>68694218.763904676</v>
          </cell>
          <cell r="H219">
            <v>1798197.85286459</v>
          </cell>
          <cell r="I219">
            <v>2487806.007661697</v>
          </cell>
          <cell r="J219">
            <v>2748056.3503815802</v>
          </cell>
          <cell r="K219">
            <v>6093753.1527472399</v>
          </cell>
          <cell r="L219">
            <v>1131360.7011722752</v>
          </cell>
          <cell r="M219">
            <v>82953392.828732058</v>
          </cell>
          <cell r="N219">
            <v>7520600</v>
          </cell>
          <cell r="O219">
            <v>98400.298645841569</v>
          </cell>
          <cell r="P219">
            <v>1321007.575162479</v>
          </cell>
          <cell r="Q219">
            <v>1321007.575162479</v>
          </cell>
          <cell r="R219">
            <v>0</v>
          </cell>
          <cell r="S219">
            <v>0</v>
          </cell>
          <cell r="T219">
            <v>343656.44791626936</v>
          </cell>
          <cell r="U219">
            <v>343656.44791626936</v>
          </cell>
          <cell r="V219">
            <v>291739.17010796734</v>
          </cell>
          <cell r="W219">
            <v>47365.499765224995</v>
          </cell>
          <cell r="X219">
            <v>0</v>
          </cell>
          <cell r="Y219">
            <v>1510584</v>
          </cell>
          <cell r="Z219">
            <v>94086745.820329875</v>
          </cell>
        </row>
        <row r="220">
          <cell r="E220" t="str">
            <v>Primary Academies</v>
          </cell>
          <cell r="F220">
            <v>23980.25</v>
          </cell>
          <cell r="G220">
            <v>81841441.748466074</v>
          </cell>
          <cell r="H220">
            <v>3367097.803679416</v>
          </cell>
          <cell r="I220">
            <v>4645443.7990339324</v>
          </cell>
          <cell r="J220">
            <v>5722958.6361001721</v>
          </cell>
          <cell r="K220">
            <v>8777517.9357040022</v>
          </cell>
          <cell r="L220">
            <v>2134237.2451345371</v>
          </cell>
          <cell r="M220">
            <v>106488697.16811816</v>
          </cell>
          <cell r="N220">
            <v>8730218.2392056752</v>
          </cell>
          <cell r="O220">
            <v>338228.86171462922</v>
          </cell>
          <cell r="P220">
            <v>613800.72081474704</v>
          </cell>
          <cell r="Q220">
            <v>613800.72081474704</v>
          </cell>
          <cell r="R220">
            <v>0</v>
          </cell>
          <cell r="S220">
            <v>0</v>
          </cell>
          <cell r="T220">
            <v>330021.40695238602</v>
          </cell>
          <cell r="U220">
            <v>330021.40695238602</v>
          </cell>
          <cell r="V220">
            <v>328309.72297430108</v>
          </cell>
          <cell r="W220">
            <v>122321.11263726988</v>
          </cell>
          <cell r="X220">
            <v>20578.371161548726</v>
          </cell>
          <cell r="Y220">
            <v>488595.38786107075</v>
          </cell>
          <cell r="Z220">
            <v>117460770.99143982</v>
          </cell>
        </row>
        <row r="221">
          <cell r="E221" t="str">
            <v>Primary Total</v>
          </cell>
          <cell r="F221">
            <v>44108.25</v>
          </cell>
          <cell r="G221">
            <v>150535660.51237077</v>
          </cell>
          <cell r="H221">
            <v>5165295.6565440055</v>
          </cell>
          <cell r="I221">
            <v>7133249.8066956289</v>
          </cell>
          <cell r="J221">
            <v>8471014.9864817522</v>
          </cell>
          <cell r="K221">
            <v>14871271.088451242</v>
          </cell>
          <cell r="L221">
            <v>3265597.9463068126</v>
          </cell>
          <cell r="M221">
            <v>189442089.99685022</v>
          </cell>
          <cell r="N221">
            <v>16250818.239205675</v>
          </cell>
          <cell r="O221">
            <v>436629.16036047076</v>
          </cell>
          <cell r="P221">
            <v>1934808.295977226</v>
          </cell>
          <cell r="Q221">
            <v>1934808.295977226</v>
          </cell>
          <cell r="R221">
            <v>0</v>
          </cell>
          <cell r="S221">
            <v>0</v>
          </cell>
          <cell r="T221">
            <v>673677.85486865533</v>
          </cell>
          <cell r="U221">
            <v>673677.85486865533</v>
          </cell>
          <cell r="V221">
            <v>620048.89308226842</v>
          </cell>
          <cell r="W221">
            <v>169686.61240249488</v>
          </cell>
          <cell r="X221">
            <v>20578.371161548726</v>
          </cell>
          <cell r="Y221">
            <v>1999179.3878610707</v>
          </cell>
          <cell r="Z221">
            <v>211547516.81176969</v>
          </cell>
        </row>
        <row r="222">
          <cell r="F222">
            <v>0</v>
          </cell>
          <cell r="G222">
            <v>-1.8393620848655701E-8</v>
          </cell>
          <cell r="H222">
            <v>0</v>
          </cell>
          <cell r="I222">
            <v>-1.8480932340025902E-9</v>
          </cell>
          <cell r="J222">
            <v>-3.6961864680051804E-9</v>
          </cell>
          <cell r="K222">
            <v>2.7648638933897018E-9</v>
          </cell>
          <cell r="L222">
            <v>-5.1659299060702324E-10</v>
          </cell>
          <cell r="M222">
            <v>-2.6775524020195007E-8</v>
          </cell>
          <cell r="N222">
            <v>-1.673470251262188E-10</v>
          </cell>
          <cell r="O222">
            <v>-5.8207660913467407E-11</v>
          </cell>
          <cell r="P222">
            <v>1934808.295977226</v>
          </cell>
          <cell r="Q222">
            <v>-4.6566128730773926E-10</v>
          </cell>
          <cell r="R222">
            <v>0</v>
          </cell>
          <cell r="S222">
            <v>0</v>
          </cell>
          <cell r="T222">
            <v>1.1641532182693481E-10</v>
          </cell>
          <cell r="U222">
            <v>1.1641532182693481E-10</v>
          </cell>
          <cell r="V222">
            <v>2.9103830456733704E-11</v>
          </cell>
          <cell r="W222">
            <v>0</v>
          </cell>
          <cell r="X222">
            <v>0</v>
          </cell>
          <cell r="Z222">
            <v>6.5425410866737366E-8</v>
          </cell>
        </row>
        <row r="224">
          <cell r="E224" t="str">
            <v>Secondary Maintained</v>
          </cell>
          <cell r="F224">
            <v>1135</v>
          </cell>
          <cell r="G224">
            <v>5406984</v>
          </cell>
          <cell r="H224">
            <v>136770.00000000009</v>
          </cell>
          <cell r="I224">
            <v>159115.78811255383</v>
          </cell>
          <cell r="J224">
            <v>234764.8455005039</v>
          </cell>
          <cell r="K224">
            <v>376801.12922392122</v>
          </cell>
          <cell r="L224">
            <v>94860.000000000087</v>
          </cell>
          <cell r="M224">
            <v>6409295.7628369788</v>
          </cell>
          <cell r="N224">
            <v>121300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447455.27812538418</v>
          </cell>
          <cell r="W224">
            <v>361093.59504350001</v>
          </cell>
          <cell r="X224">
            <v>0</v>
          </cell>
          <cell r="Y224">
            <v>271290</v>
          </cell>
          <cell r="Z224">
            <v>7610434.6360058645</v>
          </cell>
        </row>
        <row r="225">
          <cell r="E225" t="str">
            <v>Secondary Academies</v>
          </cell>
          <cell r="F225">
            <v>28566</v>
          </cell>
          <cell r="G225">
            <v>135995856</v>
          </cell>
          <cell r="H225">
            <v>4026339.919105486</v>
          </cell>
          <cell r="I225">
            <v>4374702.4985065302</v>
          </cell>
          <cell r="J225">
            <v>8204206.4167025508</v>
          </cell>
          <cell r="K225">
            <v>11393782.159403387</v>
          </cell>
          <cell r="L225">
            <v>1141386.7633376033</v>
          </cell>
          <cell r="M225">
            <v>165136273.75705558</v>
          </cell>
          <cell r="N225">
            <v>3399781.7607943248</v>
          </cell>
          <cell r="O225">
            <v>137440.61496966801</v>
          </cell>
          <cell r="P225">
            <v>1167290.8946677849</v>
          </cell>
          <cell r="Q225">
            <v>1167290.8946677849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5768436.5036308821</v>
          </cell>
          <cell r="W225">
            <v>154557.85896523009</v>
          </cell>
          <cell r="X225">
            <v>0</v>
          </cell>
          <cell r="Y225">
            <v>954693.16213892924</v>
          </cell>
          <cell r="Z225">
            <v>176718474.5522224</v>
          </cell>
        </row>
        <row r="226">
          <cell r="E226" t="str">
            <v>Secondary Total</v>
          </cell>
          <cell r="F226">
            <v>29701</v>
          </cell>
          <cell r="G226">
            <v>141402840</v>
          </cell>
          <cell r="H226">
            <v>4163109.919105486</v>
          </cell>
          <cell r="I226">
            <v>4533818.286619084</v>
          </cell>
          <cell r="J226">
            <v>8438971.2622030545</v>
          </cell>
          <cell r="K226">
            <v>11770583.288627308</v>
          </cell>
          <cell r="L226">
            <v>1236246.7633376033</v>
          </cell>
          <cell r="M226">
            <v>171545569.51989257</v>
          </cell>
          <cell r="N226">
            <v>3521081.7607943248</v>
          </cell>
          <cell r="O226">
            <v>137440.61496966801</v>
          </cell>
          <cell r="P226">
            <v>1167290.8946677849</v>
          </cell>
          <cell r="Q226">
            <v>1167290.8946677849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6215891.781756266</v>
          </cell>
          <cell r="W226">
            <v>515651.45400873013</v>
          </cell>
          <cell r="X226">
            <v>0</v>
          </cell>
          <cell r="Y226">
            <v>1225983.1621389291</v>
          </cell>
          <cell r="Z226">
            <v>184328909.18822828</v>
          </cell>
        </row>
        <row r="227">
          <cell r="F227">
            <v>0</v>
          </cell>
          <cell r="G227">
            <v>0</v>
          </cell>
          <cell r="H227">
            <v>2.9103830456733704E-10</v>
          </cell>
          <cell r="I227">
            <v>-4.9476511776447296E-10</v>
          </cell>
          <cell r="J227">
            <v>5.2386894822120667E-10</v>
          </cell>
          <cell r="K227">
            <v>-2.5029294192790985E-9</v>
          </cell>
          <cell r="L227">
            <v>2.7648638933897018E-10</v>
          </cell>
          <cell r="M227">
            <v>9.7788870334625244E-9</v>
          </cell>
          <cell r="N227">
            <v>1.4551915228366852E-10</v>
          </cell>
          <cell r="O227">
            <v>-1.0913936421275139E-11</v>
          </cell>
          <cell r="P227">
            <v>1167290.8946677849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-6.4028427004814148E-10</v>
          </cell>
          <cell r="W227">
            <v>0</v>
          </cell>
          <cell r="X227">
            <v>0</v>
          </cell>
          <cell r="Z227">
            <v>4.1909515857696533E-9</v>
          </cell>
        </row>
        <row r="229">
          <cell r="E229" t="str">
            <v>Total Maintained</v>
          </cell>
          <cell r="F229">
            <v>21263</v>
          </cell>
          <cell r="G229">
            <v>74101202.763904676</v>
          </cell>
          <cell r="H229">
            <v>1934967.85286459</v>
          </cell>
          <cell r="I229">
            <v>2646921.7957742508</v>
          </cell>
          <cell r="J229">
            <v>2982821.1958820838</v>
          </cell>
          <cell r="K229">
            <v>6470554.2819711613</v>
          </cell>
          <cell r="L229">
            <v>1226220.7011722752</v>
          </cell>
          <cell r="M229">
            <v>89362688.591569036</v>
          </cell>
          <cell r="N229">
            <v>7641900</v>
          </cell>
          <cell r="O229">
            <v>98400.298645841569</v>
          </cell>
          <cell r="P229">
            <v>1321007.575162479</v>
          </cell>
          <cell r="Q229">
            <v>1321007.575162479</v>
          </cell>
          <cell r="R229">
            <v>0</v>
          </cell>
          <cell r="S229">
            <v>0</v>
          </cell>
          <cell r="T229">
            <v>343656.44791626936</v>
          </cell>
          <cell r="U229">
            <v>343656.44791626936</v>
          </cell>
          <cell r="V229">
            <v>739194.44823335158</v>
          </cell>
          <cell r="W229">
            <v>408459.094808725</v>
          </cell>
          <cell r="X229">
            <v>0</v>
          </cell>
          <cell r="Y229">
            <v>1781874</v>
          </cell>
          <cell r="Z229">
            <v>101697180.45633574</v>
          </cell>
        </row>
        <row r="230">
          <cell r="E230" t="str">
            <v>Total Academies</v>
          </cell>
          <cell r="F230">
            <v>52546.25</v>
          </cell>
          <cell r="G230">
            <v>217837297.74846607</v>
          </cell>
          <cell r="H230">
            <v>7393437.722784902</v>
          </cell>
          <cell r="I230">
            <v>9020146.2975404635</v>
          </cell>
          <cell r="J230">
            <v>13927165.052802723</v>
          </cell>
          <cell r="K230">
            <v>20171300.095107391</v>
          </cell>
          <cell r="L230">
            <v>3275624.0084721404</v>
          </cell>
          <cell r="M230">
            <v>271624970.92517376</v>
          </cell>
          <cell r="N230">
            <v>12130000</v>
          </cell>
          <cell r="O230">
            <v>475669.4766842972</v>
          </cell>
          <cell r="P230">
            <v>1781091.615482532</v>
          </cell>
          <cell r="Q230">
            <v>1781091.615482532</v>
          </cell>
          <cell r="R230">
            <v>0</v>
          </cell>
          <cell r="S230">
            <v>0</v>
          </cell>
          <cell r="T230">
            <v>330021.40695238602</v>
          </cell>
          <cell r="U230">
            <v>330021.40695238602</v>
          </cell>
          <cell r="V230">
            <v>6096746.2266051834</v>
          </cell>
          <cell r="W230">
            <v>276878.97160249995</v>
          </cell>
          <cell r="X230">
            <v>20578.371161548726</v>
          </cell>
          <cell r="Y230">
            <v>1443288.55</v>
          </cell>
          <cell r="Z230">
            <v>294179245.54366219</v>
          </cell>
        </row>
        <row r="231">
          <cell r="E231" t="str">
            <v>Total All Schools</v>
          </cell>
          <cell r="F231">
            <v>73809.25</v>
          </cell>
          <cell r="G231">
            <v>291938500.51237077</v>
          </cell>
          <cell r="H231">
            <v>9328405.5756494924</v>
          </cell>
          <cell r="I231">
            <v>11667068.093314713</v>
          </cell>
          <cell r="J231">
            <v>16909986.248684809</v>
          </cell>
          <cell r="K231">
            <v>26641854.377078548</v>
          </cell>
          <cell r="L231">
            <v>4501844.7096444163</v>
          </cell>
          <cell r="M231">
            <v>360987659.51674283</v>
          </cell>
          <cell r="N231">
            <v>19771900</v>
          </cell>
          <cell r="O231">
            <v>574069.77533013874</v>
          </cell>
          <cell r="P231">
            <v>3102099.1906450111</v>
          </cell>
          <cell r="Q231">
            <v>3102099.1906450111</v>
          </cell>
          <cell r="R231">
            <v>0</v>
          </cell>
          <cell r="S231">
            <v>0</v>
          </cell>
          <cell r="T231">
            <v>673677.85486865533</v>
          </cell>
          <cell r="U231">
            <v>673677.85486865533</v>
          </cell>
          <cell r="V231">
            <v>6835940.6748385346</v>
          </cell>
          <cell r="W231">
            <v>685338.06641122501</v>
          </cell>
          <cell r="X231">
            <v>20578.371161548726</v>
          </cell>
          <cell r="Y231">
            <v>3225162.55</v>
          </cell>
          <cell r="Z231">
            <v>395876425.99999797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Z232">
            <v>0</v>
          </cell>
        </row>
        <row r="234">
          <cell r="G234" t="str">
            <v>£m</v>
          </cell>
        </row>
        <row r="235">
          <cell r="F235" t="str">
            <v>Min Fund</v>
          </cell>
          <cell r="G235">
            <v>0.3</v>
          </cell>
        </row>
        <row r="236">
          <cell r="F236" t="str">
            <v>MFG</v>
          </cell>
          <cell r="G236">
            <v>0.1</v>
          </cell>
        </row>
        <row r="237">
          <cell r="F237" t="str">
            <v>AWPU</v>
          </cell>
          <cell r="G237">
            <v>5.5</v>
          </cell>
        </row>
        <row r="238">
          <cell r="F238" t="str">
            <v>SD</v>
          </cell>
          <cell r="G238">
            <v>5.0999999999999996</v>
          </cell>
        </row>
        <row r="239">
          <cell r="F239" t="str">
            <v>Prior Att</v>
          </cell>
          <cell r="G239">
            <v>0.8</v>
          </cell>
        </row>
        <row r="240">
          <cell r="F240" t="str">
            <v>Lump Sum</v>
          </cell>
          <cell r="G240">
            <v>0.2</v>
          </cell>
        </row>
        <row r="241">
          <cell r="F241" t="str">
            <v>EAL/Mob</v>
          </cell>
          <cell r="G241">
            <v>0.6</v>
          </cell>
        </row>
        <row r="242">
          <cell r="G242">
            <v>12.6</v>
          </cell>
        </row>
      </sheetData>
      <sheetData sheetId="34"/>
      <sheetData sheetId="35"/>
      <sheetData sheetId="36">
        <row r="5">
          <cell r="E5">
            <v>3412.8685792877927</v>
          </cell>
        </row>
        <row r="6">
          <cell r="E6">
            <v>4536</v>
          </cell>
        </row>
        <row r="7">
          <cell r="E7">
            <v>5112</v>
          </cell>
        </row>
        <row r="8">
          <cell r="E8">
            <v>363.56608428317645</v>
          </cell>
        </row>
        <row r="9">
          <cell r="E9">
            <v>470</v>
          </cell>
        </row>
        <row r="10">
          <cell r="E10">
            <v>476.59118920722159</v>
          </cell>
        </row>
        <row r="11">
          <cell r="E11">
            <v>435.93366606179188</v>
          </cell>
        </row>
        <row r="12">
          <cell r="E12">
            <v>170.04782563786159</v>
          </cell>
        </row>
        <row r="13">
          <cell r="E13">
            <v>205.91597518997216</v>
          </cell>
        </row>
        <row r="14">
          <cell r="E14">
            <v>324.30980703034078</v>
          </cell>
        </row>
        <row r="15">
          <cell r="E15">
            <v>352.28503445976003</v>
          </cell>
        </row>
        <row r="16">
          <cell r="E16">
            <v>375.96380082783378</v>
          </cell>
        </row>
        <row r="17">
          <cell r="E17">
            <v>490.76117160685669</v>
          </cell>
        </row>
        <row r="18">
          <cell r="E18">
            <v>258.812243530594</v>
          </cell>
        </row>
        <row r="19">
          <cell r="E19">
            <v>346.23735827482744</v>
          </cell>
        </row>
        <row r="20">
          <cell r="E20">
            <v>483.9696814443372</v>
          </cell>
        </row>
        <row r="21">
          <cell r="E21">
            <v>525.95068846540073</v>
          </cell>
        </row>
        <row r="22">
          <cell r="E22">
            <v>567.58169548646424</v>
          </cell>
        </row>
        <row r="23">
          <cell r="E23">
            <v>721.96642146439956</v>
          </cell>
        </row>
        <row r="24">
          <cell r="E24">
            <v>925</v>
          </cell>
        </row>
        <row r="25">
          <cell r="E25">
            <v>1330</v>
          </cell>
        </row>
        <row r="28">
          <cell r="E28">
            <v>1710</v>
          </cell>
        </row>
        <row r="29">
          <cell r="E29">
            <v>565</v>
          </cell>
        </row>
        <row r="30">
          <cell r="E30">
            <v>1530</v>
          </cell>
        </row>
      </sheetData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meline"/>
      <sheetName val="Schedule - to do"/>
      <sheetName val="Localities"/>
      <sheetName val="APT Data Source"/>
      <sheetName val="Schools List"/>
      <sheetName val="DSG2324"/>
      <sheetName val="DSG 23-24"/>
      <sheetName val="DSG"/>
      <sheetName val="Oct22 Census"/>
      <sheetName val="Pupils"/>
      <sheetName val="Growth New Sch"/>
      <sheetName val="IR 2023"/>
      <sheetName val="Impact"/>
      <sheetName val="New Del"/>
      <sheetName val="Add Deleg"/>
      <sheetName val="23-24 NFF Actuals"/>
      <sheetName val="Factor Range"/>
      <sheetName val="AWPU Fund"/>
      <sheetName val="AWPU"/>
      <sheetName val="DataSource"/>
      <sheetName val="Attain"/>
      <sheetName val="EAL"/>
      <sheetName val="Mobility"/>
      <sheetName val="Split Site"/>
      <sheetName val="Floor"/>
      <sheetName val="A4 Floor"/>
      <sheetName val="MFG NFF"/>
      <sheetName val="Sparsity"/>
      <sheetName val="Min Fund"/>
      <sheetName val="MFG-Gains A4"/>
      <sheetName val="Supp Gr"/>
      <sheetName val="Dash"/>
      <sheetName val="Budget"/>
      <sheetName val="Balancing Sheet"/>
      <sheetName val="FSM"/>
      <sheetName val="IDACI"/>
      <sheetName val="MFG"/>
      <sheetName val="NFF Rates"/>
      <sheetName val="NFF Rates to Use"/>
      <sheetName val="Budget Share"/>
      <sheetName val="Schls Forum"/>
      <sheetName val="MSAG Est."/>
      <sheetName val="A4 Sheet"/>
      <sheetName val="pro-forma check"/>
      <sheetName val="Multiplier Summary"/>
      <sheetName val="£pup Analysis"/>
    </sheetNames>
    <sheetDataSet>
      <sheetData sheetId="0"/>
      <sheetData sheetId="1"/>
      <sheetData sheetId="2"/>
      <sheetData sheetId="3"/>
      <sheetData sheetId="4">
        <row r="1">
          <cell r="E1" t="str">
            <v>2023-24</v>
          </cell>
        </row>
        <row r="4">
          <cell r="D4" t="str">
            <v>DfE</v>
          </cell>
          <cell r="E4" t="str">
            <v>School Name</v>
          </cell>
          <cell r="F4" t="str">
            <v>Phase</v>
          </cell>
          <cell r="G4" t="str">
            <v>Academy Type</v>
          </cell>
        </row>
        <row r="5">
          <cell r="D5">
            <v>2001</v>
          </cell>
          <cell r="E5" t="str">
            <v>Abbey Lane Primary School</v>
          </cell>
          <cell r="F5" t="str">
            <v>Primary</v>
          </cell>
          <cell r="G5">
            <v>0</v>
          </cell>
        </row>
        <row r="6">
          <cell r="D6">
            <v>2046</v>
          </cell>
          <cell r="E6" t="str">
            <v>Abbeyfield Primary Academy</v>
          </cell>
          <cell r="F6" t="str">
            <v>Primary</v>
          </cell>
          <cell r="G6" t="str">
            <v>Recoupment Academy</v>
          </cell>
        </row>
        <row r="7">
          <cell r="D7">
            <v>2048</v>
          </cell>
          <cell r="E7" t="str">
            <v>Acres Hill Community Primary School</v>
          </cell>
          <cell r="F7" t="str">
            <v>Primary</v>
          </cell>
          <cell r="G7" t="str">
            <v>Recoupment Academy</v>
          </cell>
        </row>
        <row r="8">
          <cell r="D8">
            <v>2342</v>
          </cell>
          <cell r="E8" t="str">
            <v>Angram Bank Primary School</v>
          </cell>
          <cell r="F8" t="str">
            <v>Primary</v>
          </cell>
          <cell r="G8">
            <v>0</v>
          </cell>
        </row>
        <row r="9">
          <cell r="D9">
            <v>2343</v>
          </cell>
          <cell r="E9" t="str">
            <v>Anns Grove Primary School</v>
          </cell>
          <cell r="F9" t="str">
            <v>Primary</v>
          </cell>
          <cell r="G9">
            <v>0</v>
          </cell>
        </row>
        <row r="10">
          <cell r="D10">
            <v>3429</v>
          </cell>
          <cell r="E10" t="str">
            <v>Arbourthorne Community Primary School</v>
          </cell>
          <cell r="F10" t="str">
            <v>Primary</v>
          </cell>
          <cell r="G10">
            <v>0</v>
          </cell>
        </row>
        <row r="11">
          <cell r="D11">
            <v>2340</v>
          </cell>
          <cell r="E11" t="str">
            <v>Athelstan Primary School</v>
          </cell>
          <cell r="F11" t="str">
            <v>Primary</v>
          </cell>
          <cell r="G11">
            <v>0</v>
          </cell>
        </row>
        <row r="12">
          <cell r="D12">
            <v>2281</v>
          </cell>
          <cell r="E12" t="str">
            <v>Ballifield Primary School</v>
          </cell>
          <cell r="F12" t="str">
            <v>Primary</v>
          </cell>
          <cell r="G12">
            <v>0</v>
          </cell>
        </row>
        <row r="13">
          <cell r="D13">
            <v>2322</v>
          </cell>
          <cell r="E13" t="str">
            <v>Bankwood Community Primary School</v>
          </cell>
          <cell r="F13" t="str">
            <v>Primary</v>
          </cell>
          <cell r="G13">
            <v>0</v>
          </cell>
        </row>
        <row r="14">
          <cell r="D14">
            <v>2274</v>
          </cell>
          <cell r="E14" t="str">
            <v>Beck Primary School</v>
          </cell>
          <cell r="F14" t="str">
            <v>Primary</v>
          </cell>
          <cell r="G14" t="str">
            <v>Recoupment Academy</v>
          </cell>
        </row>
        <row r="15">
          <cell r="D15">
            <v>2241</v>
          </cell>
          <cell r="E15" t="str">
            <v>Beighton Nursery Infant School</v>
          </cell>
          <cell r="F15" t="str">
            <v>Primary</v>
          </cell>
          <cell r="G15">
            <v>0</v>
          </cell>
        </row>
        <row r="16">
          <cell r="D16">
            <v>2353</v>
          </cell>
          <cell r="E16" t="str">
            <v>Birley Primary Academy</v>
          </cell>
          <cell r="F16" t="str">
            <v>Primary</v>
          </cell>
          <cell r="G16" t="str">
            <v>Recoupment Academy</v>
          </cell>
        </row>
        <row r="17">
          <cell r="D17">
            <v>2323</v>
          </cell>
          <cell r="E17" t="str">
            <v>Birley Spa Primary Academy</v>
          </cell>
          <cell r="F17" t="str">
            <v>Primary</v>
          </cell>
          <cell r="G17" t="str">
            <v>Recoupment Academy</v>
          </cell>
        </row>
        <row r="18">
          <cell r="D18">
            <v>2328</v>
          </cell>
          <cell r="E18" t="str">
            <v>Bradfield Dungworth Primary School</v>
          </cell>
          <cell r="F18" t="str">
            <v>Primary</v>
          </cell>
          <cell r="G18" t="str">
            <v>Recoupment Academy</v>
          </cell>
        </row>
        <row r="19">
          <cell r="D19">
            <v>2233</v>
          </cell>
          <cell r="E19" t="str">
            <v>Bradway Primary School</v>
          </cell>
          <cell r="F19" t="str">
            <v>Primary</v>
          </cell>
          <cell r="G19">
            <v>0</v>
          </cell>
        </row>
        <row r="20">
          <cell r="D20">
            <v>2014</v>
          </cell>
          <cell r="E20" t="str">
            <v>Brightside Nursery and Infant School</v>
          </cell>
          <cell r="F20" t="str">
            <v>Primary</v>
          </cell>
          <cell r="G20">
            <v>0</v>
          </cell>
        </row>
        <row r="21">
          <cell r="D21">
            <v>2246</v>
          </cell>
          <cell r="E21" t="str">
            <v>Brook House Junior</v>
          </cell>
          <cell r="F21" t="str">
            <v>Primary</v>
          </cell>
          <cell r="G21" t="str">
            <v>Recoupment Academy</v>
          </cell>
        </row>
        <row r="22">
          <cell r="D22">
            <v>5204</v>
          </cell>
          <cell r="E22" t="str">
            <v>Broomhill Infant School</v>
          </cell>
          <cell r="F22" t="str">
            <v>Primary</v>
          </cell>
          <cell r="G22">
            <v>0</v>
          </cell>
        </row>
        <row r="23">
          <cell r="D23">
            <v>2325</v>
          </cell>
          <cell r="E23" t="str">
            <v>Brunswick Community Primary School</v>
          </cell>
          <cell r="F23" t="str">
            <v>Primary</v>
          </cell>
          <cell r="G23">
            <v>0</v>
          </cell>
        </row>
        <row r="24">
          <cell r="D24">
            <v>2095</v>
          </cell>
          <cell r="E24" t="str">
            <v>Byron Wood Primary Academy</v>
          </cell>
          <cell r="F24" t="str">
            <v>Primary</v>
          </cell>
          <cell r="G24" t="str">
            <v>Recoupment Academy</v>
          </cell>
        </row>
        <row r="25">
          <cell r="D25">
            <v>2344</v>
          </cell>
          <cell r="E25" t="str">
            <v>Carfield Primary School</v>
          </cell>
          <cell r="F25" t="str">
            <v>Primary</v>
          </cell>
          <cell r="G25">
            <v>0</v>
          </cell>
        </row>
        <row r="26">
          <cell r="D26">
            <v>2023</v>
          </cell>
          <cell r="E26" t="str">
            <v>Carter Knowle Junior School</v>
          </cell>
          <cell r="F26" t="str">
            <v>Primary</v>
          </cell>
          <cell r="G26">
            <v>0</v>
          </cell>
        </row>
        <row r="27">
          <cell r="D27">
            <v>2354</v>
          </cell>
          <cell r="E27" t="str">
            <v>Charnock Hall Primary Academy</v>
          </cell>
          <cell r="F27" t="str">
            <v>Primary</v>
          </cell>
          <cell r="G27" t="str">
            <v>Recoupment Academy</v>
          </cell>
        </row>
        <row r="28">
          <cell r="D28">
            <v>5200</v>
          </cell>
          <cell r="E28" t="str">
            <v>Clifford All Saints CofE Primary School</v>
          </cell>
          <cell r="F28" t="str">
            <v>Primary</v>
          </cell>
          <cell r="G28">
            <v>0</v>
          </cell>
        </row>
        <row r="29">
          <cell r="D29">
            <v>2312</v>
          </cell>
          <cell r="E29" t="str">
            <v>Coit Primary School</v>
          </cell>
          <cell r="F29" t="str">
            <v>Primary</v>
          </cell>
          <cell r="G29">
            <v>0</v>
          </cell>
        </row>
        <row r="30">
          <cell r="D30">
            <v>2026</v>
          </cell>
          <cell r="E30" t="str">
            <v>Concord Junior School</v>
          </cell>
          <cell r="F30" t="str">
            <v>Primary</v>
          </cell>
          <cell r="G30" t="str">
            <v>Recoupment Academy</v>
          </cell>
        </row>
        <row r="31">
          <cell r="D31">
            <v>3422</v>
          </cell>
          <cell r="E31" t="str">
            <v>Deepcar St John's Church of England Junior School</v>
          </cell>
          <cell r="F31" t="str">
            <v>Primary</v>
          </cell>
          <cell r="G31">
            <v>0</v>
          </cell>
        </row>
        <row r="32">
          <cell r="D32">
            <v>2283</v>
          </cell>
          <cell r="E32" t="str">
            <v>Dobcroft Infant School</v>
          </cell>
          <cell r="F32" t="str">
            <v>Primary</v>
          </cell>
          <cell r="G32">
            <v>0</v>
          </cell>
        </row>
        <row r="33">
          <cell r="D33">
            <v>2239</v>
          </cell>
          <cell r="E33" t="str">
            <v>Dobcroft Junior School</v>
          </cell>
          <cell r="F33" t="str">
            <v>Primary</v>
          </cell>
          <cell r="G33">
            <v>0</v>
          </cell>
        </row>
        <row r="34">
          <cell r="D34">
            <v>2364</v>
          </cell>
          <cell r="E34" t="str">
            <v>Dore Primary School</v>
          </cell>
          <cell r="F34" t="str">
            <v>Primary</v>
          </cell>
          <cell r="G34">
            <v>0</v>
          </cell>
        </row>
        <row r="35">
          <cell r="D35">
            <v>2016</v>
          </cell>
          <cell r="E35" t="str">
            <v>E-ACT Pathways Academy</v>
          </cell>
          <cell r="F35" t="str">
            <v>Primary</v>
          </cell>
          <cell r="G35" t="str">
            <v>Recoupment Academy</v>
          </cell>
        </row>
        <row r="36">
          <cell r="D36">
            <v>2206</v>
          </cell>
          <cell r="E36" t="str">
            <v>Ecclesall Primary School</v>
          </cell>
          <cell r="F36" t="str">
            <v>Primary</v>
          </cell>
          <cell r="G36">
            <v>0</v>
          </cell>
        </row>
        <row r="37">
          <cell r="D37">
            <v>2080</v>
          </cell>
          <cell r="E37" t="str">
            <v>Ecclesfield Primary School</v>
          </cell>
          <cell r="F37" t="str">
            <v>Primary</v>
          </cell>
          <cell r="G37">
            <v>0</v>
          </cell>
        </row>
        <row r="38">
          <cell r="D38">
            <v>2024</v>
          </cell>
          <cell r="E38" t="str">
            <v>Emmanuel Anglican/Methodist Junior School</v>
          </cell>
          <cell r="F38" t="str">
            <v>Primary</v>
          </cell>
          <cell r="G38" t="str">
            <v>Recoupment Academy</v>
          </cell>
        </row>
        <row r="39">
          <cell r="D39">
            <v>2028</v>
          </cell>
          <cell r="E39" t="str">
            <v>Emmaus Catholic and CofE Primary School</v>
          </cell>
          <cell r="F39" t="str">
            <v>Primary</v>
          </cell>
          <cell r="G39" t="str">
            <v>Recoupment Academy</v>
          </cell>
        </row>
        <row r="40">
          <cell r="D40">
            <v>2010</v>
          </cell>
          <cell r="E40" t="str">
            <v>Fox Hill Primary</v>
          </cell>
          <cell r="F40" t="str">
            <v>Primary</v>
          </cell>
          <cell r="G40" t="str">
            <v>Recoupment Academy</v>
          </cell>
        </row>
        <row r="41">
          <cell r="D41">
            <v>2036</v>
          </cell>
          <cell r="E41" t="str">
            <v>Gleadless Primary School</v>
          </cell>
          <cell r="F41" t="str">
            <v>Primary</v>
          </cell>
          <cell r="G41">
            <v>0</v>
          </cell>
        </row>
        <row r="42">
          <cell r="D42">
            <v>2305</v>
          </cell>
          <cell r="E42" t="str">
            <v>Greengate Lane Academy</v>
          </cell>
          <cell r="F42" t="str">
            <v>Primary</v>
          </cell>
          <cell r="G42" t="str">
            <v>Recoupment Academy</v>
          </cell>
        </row>
        <row r="43">
          <cell r="D43">
            <v>2341</v>
          </cell>
          <cell r="E43" t="str">
            <v>Greenhill Primary School</v>
          </cell>
          <cell r="F43" t="str">
            <v>Primary</v>
          </cell>
          <cell r="G43" t="str">
            <v>Recoupment Academy</v>
          </cell>
        </row>
        <row r="44">
          <cell r="D44">
            <v>2296</v>
          </cell>
          <cell r="E44" t="str">
            <v>Grenoside Community Primary School</v>
          </cell>
          <cell r="F44" t="str">
            <v>Primary</v>
          </cell>
          <cell r="G44">
            <v>0</v>
          </cell>
        </row>
        <row r="45">
          <cell r="D45">
            <v>2356</v>
          </cell>
          <cell r="E45" t="str">
            <v>Greystones Primary School</v>
          </cell>
          <cell r="F45" t="str">
            <v>Primary</v>
          </cell>
          <cell r="G45">
            <v>0</v>
          </cell>
        </row>
        <row r="46">
          <cell r="D46">
            <v>2279</v>
          </cell>
          <cell r="E46" t="str">
            <v>Halfway Junior School</v>
          </cell>
          <cell r="F46" t="str">
            <v>Primary</v>
          </cell>
          <cell r="G46">
            <v>0</v>
          </cell>
        </row>
        <row r="47">
          <cell r="D47">
            <v>2252</v>
          </cell>
          <cell r="E47" t="str">
            <v>Halfway Nursery Infant School</v>
          </cell>
          <cell r="F47" t="str">
            <v>Primary</v>
          </cell>
          <cell r="G47">
            <v>0</v>
          </cell>
        </row>
        <row r="48">
          <cell r="D48">
            <v>2357</v>
          </cell>
          <cell r="E48" t="str">
            <v>Hallam Primary School</v>
          </cell>
          <cell r="F48" t="str">
            <v>Primary</v>
          </cell>
          <cell r="G48" t="str">
            <v>Recoupment Academy</v>
          </cell>
        </row>
        <row r="49">
          <cell r="D49">
            <v>2050</v>
          </cell>
          <cell r="E49" t="str">
            <v>Hartley Brook Primary School</v>
          </cell>
          <cell r="F49" t="str">
            <v>Primary</v>
          </cell>
          <cell r="G49" t="str">
            <v>Recoupment Academy</v>
          </cell>
        </row>
        <row r="50">
          <cell r="D50">
            <v>2049</v>
          </cell>
          <cell r="E50" t="str">
            <v>Hatfield Academy</v>
          </cell>
          <cell r="F50" t="str">
            <v>Primary</v>
          </cell>
          <cell r="G50" t="str">
            <v>Recoupment Academy</v>
          </cell>
        </row>
        <row r="51">
          <cell r="D51">
            <v>2297</v>
          </cell>
          <cell r="E51" t="str">
            <v>High Green Primary School</v>
          </cell>
          <cell r="F51" t="str">
            <v>Primary</v>
          </cell>
          <cell r="G51">
            <v>0</v>
          </cell>
        </row>
        <row r="52">
          <cell r="D52">
            <v>2042</v>
          </cell>
          <cell r="E52" t="str">
            <v>High Hazels Junior School</v>
          </cell>
          <cell r="F52" t="str">
            <v>Primary</v>
          </cell>
          <cell r="G52" t="str">
            <v>Recoupment Academy</v>
          </cell>
        </row>
        <row r="53">
          <cell r="D53">
            <v>2039</v>
          </cell>
          <cell r="E53" t="str">
            <v>High Hazels Nursery Infant Academy</v>
          </cell>
          <cell r="F53" t="str">
            <v>Primary</v>
          </cell>
          <cell r="G53" t="str">
            <v>Recoupment Academy</v>
          </cell>
        </row>
        <row r="54">
          <cell r="D54">
            <v>2339</v>
          </cell>
          <cell r="E54" t="str">
            <v>Hillsborough Primary School</v>
          </cell>
          <cell r="F54" t="str">
            <v>Primary</v>
          </cell>
          <cell r="G54" t="str">
            <v>Recoupment Academy</v>
          </cell>
        </row>
        <row r="55">
          <cell r="D55">
            <v>2213</v>
          </cell>
          <cell r="E55" t="str">
            <v>Holt House Infant School</v>
          </cell>
          <cell r="F55" t="str">
            <v>Primary</v>
          </cell>
          <cell r="G55">
            <v>0</v>
          </cell>
        </row>
        <row r="56">
          <cell r="D56">
            <v>2337</v>
          </cell>
          <cell r="E56" t="str">
            <v>Hucklow Primary School</v>
          </cell>
          <cell r="F56" t="str">
            <v>Primary</v>
          </cell>
          <cell r="G56" t="str">
            <v>Recoupment Academy</v>
          </cell>
        </row>
        <row r="57">
          <cell r="D57">
            <v>2060</v>
          </cell>
          <cell r="E57" t="str">
            <v>Hunter's Bar Infant School</v>
          </cell>
          <cell r="F57" t="str">
            <v>Primary</v>
          </cell>
          <cell r="G57">
            <v>0</v>
          </cell>
        </row>
        <row r="58">
          <cell r="D58">
            <v>2058</v>
          </cell>
          <cell r="E58" t="str">
            <v>Hunter's Bar Junior School</v>
          </cell>
          <cell r="F58" t="str">
            <v>Primary</v>
          </cell>
          <cell r="G58">
            <v>0</v>
          </cell>
        </row>
        <row r="59">
          <cell r="D59">
            <v>2063</v>
          </cell>
          <cell r="E59" t="str">
            <v>Intake Primary School</v>
          </cell>
          <cell r="F59" t="str">
            <v>Primary</v>
          </cell>
          <cell r="G59">
            <v>0</v>
          </cell>
        </row>
        <row r="60">
          <cell r="D60">
            <v>2261</v>
          </cell>
          <cell r="E60" t="str">
            <v>Limpsfield Junior School</v>
          </cell>
          <cell r="F60" t="str">
            <v>Primary</v>
          </cell>
          <cell r="G60">
            <v>0</v>
          </cell>
        </row>
        <row r="61">
          <cell r="D61">
            <v>2315</v>
          </cell>
          <cell r="E61" t="str">
            <v>Lound Infant School</v>
          </cell>
          <cell r="F61" t="str">
            <v>Primary</v>
          </cell>
          <cell r="G61" t="str">
            <v>Recoupment Academy</v>
          </cell>
        </row>
        <row r="62">
          <cell r="D62">
            <v>2298</v>
          </cell>
          <cell r="E62" t="str">
            <v>Lound Junior School</v>
          </cell>
          <cell r="F62" t="str">
            <v>Primary</v>
          </cell>
          <cell r="G62" t="str">
            <v>Recoupment Academy</v>
          </cell>
        </row>
        <row r="63">
          <cell r="D63">
            <v>2029</v>
          </cell>
          <cell r="E63" t="str">
            <v>Lowedges Junior Academy</v>
          </cell>
          <cell r="F63" t="str">
            <v>Primary</v>
          </cell>
          <cell r="G63" t="str">
            <v>Recoupment Academy</v>
          </cell>
        </row>
        <row r="64">
          <cell r="D64">
            <v>2045</v>
          </cell>
          <cell r="E64" t="str">
            <v>Lower Meadow Primary School</v>
          </cell>
          <cell r="F64" t="str">
            <v>Primary</v>
          </cell>
          <cell r="G64" t="str">
            <v>Recoupment Academy</v>
          </cell>
        </row>
        <row r="65">
          <cell r="D65">
            <v>2070</v>
          </cell>
          <cell r="E65" t="str">
            <v>Lowfield Community Primary School</v>
          </cell>
          <cell r="F65" t="str">
            <v>Primary</v>
          </cell>
          <cell r="G65">
            <v>0</v>
          </cell>
        </row>
        <row r="66">
          <cell r="D66">
            <v>2292</v>
          </cell>
          <cell r="E66" t="str">
            <v>Loxley Primary School</v>
          </cell>
          <cell r="F66" t="str">
            <v>Primary</v>
          </cell>
          <cell r="G66" t="str">
            <v>Recoupment Academy</v>
          </cell>
        </row>
        <row r="67">
          <cell r="D67">
            <v>2072</v>
          </cell>
          <cell r="E67" t="str">
            <v>Lydgate Infant School</v>
          </cell>
          <cell r="F67" t="str">
            <v>Primary</v>
          </cell>
          <cell r="G67">
            <v>0</v>
          </cell>
        </row>
        <row r="68">
          <cell r="D68">
            <v>2071</v>
          </cell>
          <cell r="E68" t="str">
            <v>Lydgate Junior School</v>
          </cell>
          <cell r="F68" t="str">
            <v>Primary</v>
          </cell>
          <cell r="G68">
            <v>0</v>
          </cell>
        </row>
        <row r="69">
          <cell r="D69">
            <v>2358</v>
          </cell>
          <cell r="E69" t="str">
            <v>Malin Bridge Primary School</v>
          </cell>
          <cell r="F69" t="str">
            <v>Primary</v>
          </cell>
          <cell r="G69" t="str">
            <v>Recoupment Academy</v>
          </cell>
        </row>
        <row r="70">
          <cell r="D70">
            <v>2359</v>
          </cell>
          <cell r="E70" t="str">
            <v>Manor Lodge Community Primary and Nursery School</v>
          </cell>
          <cell r="F70" t="str">
            <v>Primary</v>
          </cell>
          <cell r="G70" t="str">
            <v>Recoupment Academy</v>
          </cell>
        </row>
        <row r="71">
          <cell r="D71">
            <v>2012</v>
          </cell>
          <cell r="E71" t="str">
            <v>Mansel Primary</v>
          </cell>
          <cell r="F71" t="str">
            <v>Primary</v>
          </cell>
          <cell r="G71" t="str">
            <v>Recoupment Academy</v>
          </cell>
        </row>
        <row r="72">
          <cell r="D72">
            <v>2079</v>
          </cell>
          <cell r="E72" t="str">
            <v>Marlcliffe Community Primary School</v>
          </cell>
          <cell r="F72" t="str">
            <v>Primary</v>
          </cell>
          <cell r="G72">
            <v>0</v>
          </cell>
        </row>
        <row r="73">
          <cell r="D73">
            <v>2081</v>
          </cell>
          <cell r="E73" t="str">
            <v>Meersbrook Bank Primary School</v>
          </cell>
          <cell r="F73" t="str">
            <v>Primary</v>
          </cell>
          <cell r="G73">
            <v>0</v>
          </cell>
        </row>
        <row r="74">
          <cell r="D74">
            <v>2013</v>
          </cell>
          <cell r="E74" t="str">
            <v>Meynell Community Primary School</v>
          </cell>
          <cell r="F74" t="str">
            <v>Primary</v>
          </cell>
          <cell r="G74" t="str">
            <v>Recoupment Academy</v>
          </cell>
        </row>
        <row r="75">
          <cell r="D75">
            <v>2346</v>
          </cell>
          <cell r="E75" t="str">
            <v>Monteney Primary School</v>
          </cell>
          <cell r="F75" t="str">
            <v>Primary</v>
          </cell>
          <cell r="G75" t="str">
            <v>Recoupment Academy</v>
          </cell>
        </row>
        <row r="76">
          <cell r="D76">
            <v>2257</v>
          </cell>
          <cell r="E76" t="str">
            <v>Mosborough Primary School</v>
          </cell>
          <cell r="F76" t="str">
            <v>Primary</v>
          </cell>
          <cell r="G76">
            <v>0</v>
          </cell>
        </row>
        <row r="77">
          <cell r="D77">
            <v>2092</v>
          </cell>
          <cell r="E77" t="str">
            <v>Mundella Primary School</v>
          </cell>
          <cell r="F77" t="str">
            <v>Primary</v>
          </cell>
          <cell r="G77">
            <v>0</v>
          </cell>
        </row>
        <row r="78">
          <cell r="D78">
            <v>2002</v>
          </cell>
          <cell r="E78" t="str">
            <v>Nether Edge Primary School</v>
          </cell>
          <cell r="F78" t="str">
            <v>Primary</v>
          </cell>
          <cell r="G78" t="str">
            <v>Recoupment Academy</v>
          </cell>
        </row>
        <row r="79">
          <cell r="D79">
            <v>2221</v>
          </cell>
          <cell r="E79" t="str">
            <v>Nether Green Infant School</v>
          </cell>
          <cell r="F79" t="str">
            <v>Primary</v>
          </cell>
          <cell r="G79">
            <v>0</v>
          </cell>
        </row>
        <row r="80">
          <cell r="D80">
            <v>2087</v>
          </cell>
          <cell r="E80" t="str">
            <v>Nether Green Junior School</v>
          </cell>
          <cell r="F80" t="str">
            <v>Primary</v>
          </cell>
          <cell r="G80">
            <v>0</v>
          </cell>
        </row>
        <row r="81">
          <cell r="D81">
            <v>2272</v>
          </cell>
          <cell r="E81" t="str">
            <v>Netherthorpe Primary School</v>
          </cell>
          <cell r="F81" t="str">
            <v>Primary</v>
          </cell>
          <cell r="G81">
            <v>0</v>
          </cell>
        </row>
        <row r="82">
          <cell r="D82">
            <v>2309</v>
          </cell>
          <cell r="E82" t="str">
            <v>Nook Lane Junior School</v>
          </cell>
          <cell r="F82" t="str">
            <v>Primary</v>
          </cell>
          <cell r="G82" t="str">
            <v>Recoupment Academy</v>
          </cell>
        </row>
        <row r="83">
          <cell r="D83">
            <v>2051</v>
          </cell>
          <cell r="E83" t="str">
            <v>Norfolk Community Primary School</v>
          </cell>
          <cell r="F83" t="str">
            <v>Primary</v>
          </cell>
          <cell r="G83" t="str">
            <v>Recoupment Academy</v>
          </cell>
        </row>
        <row r="84">
          <cell r="D84">
            <v>3010</v>
          </cell>
          <cell r="E84" t="str">
            <v>Norton Free Church of England Primary School</v>
          </cell>
          <cell r="F84" t="str">
            <v>Primary</v>
          </cell>
          <cell r="G84">
            <v>0</v>
          </cell>
        </row>
        <row r="85">
          <cell r="D85">
            <v>2018</v>
          </cell>
          <cell r="E85" t="str">
            <v>Oasis Academy Fir Vale</v>
          </cell>
          <cell r="F85" t="str">
            <v>Primary</v>
          </cell>
          <cell r="G85" t="str">
            <v>Recoupment Academy</v>
          </cell>
        </row>
        <row r="86">
          <cell r="D86">
            <v>2019</v>
          </cell>
          <cell r="E86" t="str">
            <v>Oasis Academy Watermead</v>
          </cell>
          <cell r="F86" t="str">
            <v>Primary</v>
          </cell>
          <cell r="G86" t="str">
            <v>Recoupment Academy</v>
          </cell>
        </row>
        <row r="87">
          <cell r="D87">
            <v>2313</v>
          </cell>
          <cell r="E87" t="str">
            <v>Oughtibridge Primary School</v>
          </cell>
          <cell r="F87" t="str">
            <v>Primary</v>
          </cell>
          <cell r="G87" t="str">
            <v>Recoupment Academy</v>
          </cell>
        </row>
        <row r="88">
          <cell r="D88">
            <v>2093</v>
          </cell>
          <cell r="E88" t="str">
            <v>Owler Brook Primary School</v>
          </cell>
          <cell r="F88" t="str">
            <v>Primary</v>
          </cell>
          <cell r="G88" t="str">
            <v>Recoupment Academy</v>
          </cell>
        </row>
        <row r="89">
          <cell r="D89">
            <v>3428</v>
          </cell>
          <cell r="E89" t="str">
            <v>Parson Cross Church of England Primary School</v>
          </cell>
          <cell r="F89" t="str">
            <v>Primary</v>
          </cell>
          <cell r="G89">
            <v>0</v>
          </cell>
        </row>
        <row r="90">
          <cell r="D90">
            <v>2332</v>
          </cell>
          <cell r="E90" t="str">
            <v>Phillimore Community Primary School</v>
          </cell>
          <cell r="F90" t="str">
            <v>Primary</v>
          </cell>
          <cell r="G90" t="str">
            <v>Recoupment Academy</v>
          </cell>
        </row>
        <row r="91">
          <cell r="D91">
            <v>3433</v>
          </cell>
          <cell r="E91" t="str">
            <v>Pipworth Community Primary School</v>
          </cell>
          <cell r="F91" t="str">
            <v>Primary</v>
          </cell>
          <cell r="G91">
            <v>0</v>
          </cell>
        </row>
        <row r="92">
          <cell r="D92">
            <v>3427</v>
          </cell>
          <cell r="E92" t="str">
            <v>Porter Croft Church of England Primary Academy</v>
          </cell>
          <cell r="F92" t="str">
            <v>Primary</v>
          </cell>
          <cell r="G92" t="str">
            <v>Recoupment Academy</v>
          </cell>
        </row>
        <row r="93">
          <cell r="D93">
            <v>2347</v>
          </cell>
          <cell r="E93" t="str">
            <v>Prince Edward Primary School</v>
          </cell>
          <cell r="F93" t="str">
            <v>Primary</v>
          </cell>
          <cell r="G93">
            <v>0</v>
          </cell>
        </row>
        <row r="94">
          <cell r="D94">
            <v>2366</v>
          </cell>
          <cell r="E94" t="str">
            <v>Pye Bank CofE Primary School</v>
          </cell>
          <cell r="F94" t="str">
            <v>Primary</v>
          </cell>
          <cell r="G94" t="str">
            <v>Recoupment Academy</v>
          </cell>
        </row>
        <row r="95">
          <cell r="D95">
            <v>2363</v>
          </cell>
          <cell r="E95" t="str">
            <v>Rainbow Forge Primary Academy</v>
          </cell>
          <cell r="F95" t="str">
            <v>Primary</v>
          </cell>
          <cell r="G95" t="str">
            <v>Recoupment Academy</v>
          </cell>
        </row>
        <row r="96">
          <cell r="D96">
            <v>2334</v>
          </cell>
          <cell r="E96" t="str">
            <v>Reignhead Primary School</v>
          </cell>
          <cell r="F96" t="str">
            <v>Primary</v>
          </cell>
          <cell r="G96">
            <v>0</v>
          </cell>
        </row>
        <row r="97">
          <cell r="D97">
            <v>2338</v>
          </cell>
          <cell r="E97" t="str">
            <v>Rivelin Primary School</v>
          </cell>
          <cell r="F97" t="str">
            <v>Primary</v>
          </cell>
          <cell r="G97">
            <v>0</v>
          </cell>
        </row>
        <row r="98">
          <cell r="D98">
            <v>2306</v>
          </cell>
          <cell r="E98" t="str">
            <v>Royd Nursery and Infant School</v>
          </cell>
          <cell r="F98" t="str">
            <v>Primary</v>
          </cell>
          <cell r="G98">
            <v>0</v>
          </cell>
        </row>
        <row r="99">
          <cell r="D99">
            <v>3401</v>
          </cell>
          <cell r="E99" t="str">
            <v>Sacred Heart School, A Catholic Voluntary Academy</v>
          </cell>
          <cell r="F99" t="str">
            <v>Primary</v>
          </cell>
          <cell r="G99" t="str">
            <v>Recoupment Academy</v>
          </cell>
        </row>
        <row r="100">
          <cell r="D100">
            <v>2369</v>
          </cell>
          <cell r="E100" t="str">
            <v>Sharrow Nursery, Infant and Junior School</v>
          </cell>
          <cell r="F100" t="str">
            <v>Primary</v>
          </cell>
          <cell r="G100">
            <v>0</v>
          </cell>
        </row>
        <row r="101">
          <cell r="D101">
            <v>2349</v>
          </cell>
          <cell r="E101" t="str">
            <v>Shooter's Grove Primary School</v>
          </cell>
          <cell r="F101" t="str">
            <v>Primary</v>
          </cell>
          <cell r="G101">
            <v>0</v>
          </cell>
        </row>
        <row r="102">
          <cell r="D102">
            <v>2360</v>
          </cell>
          <cell r="E102" t="str">
            <v>Shortbrook Primary School</v>
          </cell>
          <cell r="F102" t="str">
            <v>Primary</v>
          </cell>
          <cell r="G102">
            <v>0</v>
          </cell>
        </row>
        <row r="103">
          <cell r="D103">
            <v>2009</v>
          </cell>
          <cell r="E103" t="str">
            <v>Southey Green Primary School and Nurseries</v>
          </cell>
          <cell r="F103" t="str">
            <v>Primary</v>
          </cell>
          <cell r="G103" t="str">
            <v>Recoupment Academy</v>
          </cell>
        </row>
        <row r="104">
          <cell r="D104">
            <v>2329</v>
          </cell>
          <cell r="E104" t="str">
            <v>Springfield Primary School</v>
          </cell>
          <cell r="F104" t="str">
            <v>Primary</v>
          </cell>
          <cell r="G104">
            <v>0</v>
          </cell>
        </row>
        <row r="105">
          <cell r="D105">
            <v>5202</v>
          </cell>
          <cell r="E105" t="str">
            <v>St Ann's Catholic Primary School, A Voluntary Academy</v>
          </cell>
          <cell r="F105" t="str">
            <v>Primary</v>
          </cell>
          <cell r="G105" t="str">
            <v>Recoupment Academy</v>
          </cell>
        </row>
        <row r="106">
          <cell r="D106">
            <v>3402</v>
          </cell>
          <cell r="E106" t="str">
            <v>St Catherine's Catholic Primary School (Hallam)</v>
          </cell>
          <cell r="F106" t="str">
            <v>Primary</v>
          </cell>
          <cell r="G106" t="str">
            <v>Recoupment Academy</v>
          </cell>
        </row>
        <row r="107">
          <cell r="D107">
            <v>2017</v>
          </cell>
          <cell r="E107" t="str">
            <v>St John Fisher Primary, A Catholic Voluntary Academy</v>
          </cell>
          <cell r="F107" t="str">
            <v>Primary</v>
          </cell>
          <cell r="G107" t="str">
            <v>Recoupment Academy</v>
          </cell>
        </row>
        <row r="108">
          <cell r="D108">
            <v>5203</v>
          </cell>
          <cell r="E108" t="str">
            <v>St Joseph's Primary School</v>
          </cell>
          <cell r="F108" t="str">
            <v>Primary</v>
          </cell>
          <cell r="G108" t="str">
            <v>Recoupment Academy</v>
          </cell>
        </row>
        <row r="109">
          <cell r="D109">
            <v>3406</v>
          </cell>
          <cell r="E109" t="str">
            <v>St Marie's School, A Catholic Voluntary Academy</v>
          </cell>
          <cell r="F109" t="str">
            <v>Primary</v>
          </cell>
          <cell r="G109" t="str">
            <v>Recoupment Academy</v>
          </cell>
        </row>
        <row r="110">
          <cell r="D110">
            <v>2020</v>
          </cell>
          <cell r="E110" t="str">
            <v>St Mary's Church of England Primary School</v>
          </cell>
          <cell r="F110" t="str">
            <v>Primary</v>
          </cell>
          <cell r="G110" t="str">
            <v>Recoupment Academy</v>
          </cell>
        </row>
        <row r="111">
          <cell r="D111">
            <v>3423</v>
          </cell>
          <cell r="E111" t="str">
            <v>St Mary's Primary School, A Catholic Voluntary Academy</v>
          </cell>
          <cell r="F111" t="str">
            <v>Primary</v>
          </cell>
          <cell r="G111" t="str">
            <v>Recoupment Academy</v>
          </cell>
        </row>
        <row r="112">
          <cell r="D112">
            <v>5207</v>
          </cell>
          <cell r="E112" t="str">
            <v>St Patrick's Catholic Voluntary Academy</v>
          </cell>
          <cell r="F112" t="str">
            <v>Primary</v>
          </cell>
          <cell r="G112" t="str">
            <v>Recoupment Academy</v>
          </cell>
        </row>
        <row r="113">
          <cell r="D113">
            <v>5208</v>
          </cell>
          <cell r="E113" t="str">
            <v>St Theresa's Catholic Primary School</v>
          </cell>
          <cell r="F113" t="str">
            <v>Primary</v>
          </cell>
          <cell r="G113">
            <v>0</v>
          </cell>
        </row>
        <row r="114">
          <cell r="D114">
            <v>3424</v>
          </cell>
          <cell r="E114" t="str">
            <v>St Thomas More Catholic Primary, A Voluntary Academy</v>
          </cell>
          <cell r="F114" t="str">
            <v>Primary</v>
          </cell>
          <cell r="G114" t="str">
            <v>Recoupment Academy</v>
          </cell>
        </row>
        <row r="115">
          <cell r="D115">
            <v>3414</v>
          </cell>
          <cell r="E115" t="str">
            <v>St Thomas of Canterbury School, a Catholic Voluntary Academy</v>
          </cell>
          <cell r="F115" t="str">
            <v>Primary</v>
          </cell>
          <cell r="G115" t="str">
            <v>Recoupment Academy</v>
          </cell>
        </row>
        <row r="116">
          <cell r="D116">
            <v>3412</v>
          </cell>
          <cell r="E116" t="str">
            <v>St Wilfrid's Catholic Primary School</v>
          </cell>
          <cell r="F116" t="str">
            <v>Primary</v>
          </cell>
          <cell r="G116" t="str">
            <v>Recoupment Academy</v>
          </cell>
        </row>
        <row r="117">
          <cell r="D117">
            <v>2294</v>
          </cell>
          <cell r="E117" t="str">
            <v>Stannington Infant School</v>
          </cell>
          <cell r="F117" t="str">
            <v>Primary</v>
          </cell>
          <cell r="G117" t="str">
            <v>Recoupment Academy</v>
          </cell>
        </row>
        <row r="118">
          <cell r="D118">
            <v>2303</v>
          </cell>
          <cell r="E118" t="str">
            <v>Stocksbridge Junior School</v>
          </cell>
          <cell r="F118" t="str">
            <v>Primary</v>
          </cell>
          <cell r="G118">
            <v>0</v>
          </cell>
        </row>
        <row r="119">
          <cell r="D119">
            <v>2302</v>
          </cell>
          <cell r="E119" t="str">
            <v>Stocksbridge Nursery Infant School</v>
          </cell>
          <cell r="F119" t="str">
            <v>Primary</v>
          </cell>
          <cell r="G119" t="str">
            <v>Recoupment Academy</v>
          </cell>
        </row>
        <row r="120">
          <cell r="D120">
            <v>2350</v>
          </cell>
          <cell r="E120" t="str">
            <v>Stradbroke Primary School</v>
          </cell>
          <cell r="F120" t="str">
            <v>Primary</v>
          </cell>
          <cell r="G120">
            <v>0</v>
          </cell>
        </row>
        <row r="121">
          <cell r="D121">
            <v>2230</v>
          </cell>
          <cell r="E121" t="str">
            <v>Tinsley Meadows Primary School</v>
          </cell>
          <cell r="F121" t="str">
            <v>Primary</v>
          </cell>
          <cell r="G121" t="str">
            <v>Recoupment Academy</v>
          </cell>
        </row>
        <row r="122">
          <cell r="D122">
            <v>5206</v>
          </cell>
          <cell r="E122" t="str">
            <v>Totley All Saints Church of England Voluntary Aided Primary School</v>
          </cell>
          <cell r="F122" t="str">
            <v>Primary</v>
          </cell>
          <cell r="G122" t="str">
            <v>Recoupment Academy</v>
          </cell>
        </row>
        <row r="123">
          <cell r="D123">
            <v>2203</v>
          </cell>
          <cell r="E123" t="str">
            <v>Totley Primary School</v>
          </cell>
          <cell r="F123" t="str">
            <v>Primary</v>
          </cell>
          <cell r="G123" t="str">
            <v>Recoupment Academy</v>
          </cell>
        </row>
        <row r="124">
          <cell r="D124">
            <v>2351</v>
          </cell>
          <cell r="E124" t="str">
            <v>Walkley Primary School</v>
          </cell>
          <cell r="F124" t="str">
            <v>Primary</v>
          </cell>
          <cell r="G124">
            <v>0</v>
          </cell>
        </row>
        <row r="125">
          <cell r="D125">
            <v>3432</v>
          </cell>
          <cell r="E125" t="str">
            <v>Watercliffe Meadow Community Primary School</v>
          </cell>
          <cell r="F125" t="str">
            <v>Primary</v>
          </cell>
          <cell r="G125">
            <v>0</v>
          </cell>
        </row>
        <row r="126">
          <cell r="D126">
            <v>2319</v>
          </cell>
          <cell r="E126" t="str">
            <v>Waterthorpe Infant School</v>
          </cell>
          <cell r="F126" t="str">
            <v>Primary</v>
          </cell>
          <cell r="G126">
            <v>0</v>
          </cell>
        </row>
        <row r="127">
          <cell r="D127">
            <v>2352</v>
          </cell>
          <cell r="E127" t="str">
            <v>Westways Primary School</v>
          </cell>
          <cell r="F127" t="str">
            <v>Primary</v>
          </cell>
          <cell r="G127">
            <v>0</v>
          </cell>
        </row>
        <row r="128">
          <cell r="D128">
            <v>2311</v>
          </cell>
          <cell r="E128" t="str">
            <v>Wharncliffe Side Primary School</v>
          </cell>
          <cell r="F128" t="str">
            <v>Primary</v>
          </cell>
          <cell r="G128" t="str">
            <v>Recoupment Academy</v>
          </cell>
        </row>
        <row r="129">
          <cell r="D129">
            <v>2040</v>
          </cell>
          <cell r="E129" t="str">
            <v>Whiteways Primary School</v>
          </cell>
          <cell r="F129" t="str">
            <v>Primary</v>
          </cell>
          <cell r="G129" t="str">
            <v>Recoupment Academy</v>
          </cell>
        </row>
        <row r="130">
          <cell r="D130">
            <v>2027</v>
          </cell>
          <cell r="E130" t="str">
            <v>Wincobank Nursery and Infant School</v>
          </cell>
          <cell r="F130" t="str">
            <v>Primary</v>
          </cell>
          <cell r="G130" t="str">
            <v>Recoupment Academy</v>
          </cell>
        </row>
        <row r="131">
          <cell r="D131">
            <v>2361</v>
          </cell>
          <cell r="E131" t="str">
            <v>Windmill Hill Primary School</v>
          </cell>
          <cell r="F131" t="str">
            <v>Primary</v>
          </cell>
          <cell r="G131" t="str">
            <v>Recoupment Academy</v>
          </cell>
        </row>
        <row r="132">
          <cell r="D132">
            <v>2043</v>
          </cell>
          <cell r="E132" t="str">
            <v>Wisewood Community Primary School</v>
          </cell>
          <cell r="F132" t="str">
            <v>Primary</v>
          </cell>
          <cell r="G132" t="str">
            <v>Recoupment Academy</v>
          </cell>
        </row>
        <row r="133">
          <cell r="D133">
            <v>2139</v>
          </cell>
          <cell r="E133" t="str">
            <v>Woodhouse West Primary School</v>
          </cell>
          <cell r="F133" t="str">
            <v>Primary</v>
          </cell>
          <cell r="G133" t="str">
            <v>Recoupment Academy</v>
          </cell>
        </row>
        <row r="134">
          <cell r="D134">
            <v>2034</v>
          </cell>
          <cell r="E134" t="str">
            <v>Woodlands Primary School</v>
          </cell>
          <cell r="F134" t="str">
            <v>Primary</v>
          </cell>
          <cell r="G134" t="str">
            <v>Recoupment Academy</v>
          </cell>
        </row>
        <row r="135">
          <cell r="D135">
            <v>2324</v>
          </cell>
          <cell r="E135" t="str">
            <v>Woodseats Primary School</v>
          </cell>
          <cell r="F135" t="str">
            <v>Primary</v>
          </cell>
          <cell r="G135" t="str">
            <v>Recoupment Academy</v>
          </cell>
        </row>
        <row r="136">
          <cell r="D136">
            <v>2327</v>
          </cell>
          <cell r="E136" t="str">
            <v>Woodthorpe Primary School</v>
          </cell>
          <cell r="F136" t="str">
            <v>Primary</v>
          </cell>
          <cell r="G136" t="str">
            <v>Recoupment Academy</v>
          </cell>
        </row>
        <row r="137">
          <cell r="D137">
            <v>2321</v>
          </cell>
          <cell r="E137" t="str">
            <v>Wybourn Community Primary &amp; Nursery School</v>
          </cell>
          <cell r="F137" t="str">
            <v>Primary</v>
          </cell>
          <cell r="G137" t="str">
            <v>Recoupment Academy</v>
          </cell>
        </row>
        <row r="139">
          <cell r="E139" t="str">
            <v>Total Primary</v>
          </cell>
        </row>
        <row r="141">
          <cell r="E141" t="str">
            <v>Secondary</v>
          </cell>
        </row>
        <row r="143">
          <cell r="D143">
            <v>5401</v>
          </cell>
          <cell r="E143" t="str">
            <v>All Saints' Catholic High School</v>
          </cell>
          <cell r="F143" t="str">
            <v>Secondary</v>
          </cell>
          <cell r="G143" t="str">
            <v>Recoupment Academy</v>
          </cell>
        </row>
        <row r="144">
          <cell r="D144">
            <v>4017</v>
          </cell>
          <cell r="E144" t="str">
            <v>Bradfield School</v>
          </cell>
          <cell r="F144" t="str">
            <v>Secondary</v>
          </cell>
          <cell r="G144" t="str">
            <v>Recoupment Academy</v>
          </cell>
        </row>
        <row r="145">
          <cell r="D145">
            <v>4000</v>
          </cell>
          <cell r="E145" t="str">
            <v>Chaucer School</v>
          </cell>
          <cell r="F145" t="str">
            <v>Secondary</v>
          </cell>
          <cell r="G145" t="str">
            <v>Recoupment Academy</v>
          </cell>
        </row>
        <row r="146">
          <cell r="D146">
            <v>4012</v>
          </cell>
          <cell r="E146" t="str">
            <v>Ecclesfield School</v>
          </cell>
          <cell r="F146" t="str">
            <v>Secondary</v>
          </cell>
          <cell r="G146" t="str">
            <v>Recoupment Academy</v>
          </cell>
        </row>
        <row r="147">
          <cell r="D147">
            <v>4280</v>
          </cell>
          <cell r="E147" t="str">
            <v>Fir Vale School</v>
          </cell>
          <cell r="F147" t="str">
            <v>Secondary</v>
          </cell>
          <cell r="G147" t="str">
            <v>Recoupment Academy</v>
          </cell>
        </row>
        <row r="148">
          <cell r="D148">
            <v>4003</v>
          </cell>
          <cell r="E148" t="str">
            <v>Firth Park Academy</v>
          </cell>
          <cell r="F148" t="str">
            <v>Secondary</v>
          </cell>
          <cell r="G148" t="str">
            <v>Recoupment Academy</v>
          </cell>
        </row>
        <row r="149">
          <cell r="D149">
            <v>4007</v>
          </cell>
          <cell r="E149" t="str">
            <v>Forge Valley School</v>
          </cell>
          <cell r="F149" t="str">
            <v>Secondary</v>
          </cell>
          <cell r="G149" t="str">
            <v>Recoupment Academy</v>
          </cell>
        </row>
        <row r="150">
          <cell r="D150">
            <v>4278</v>
          </cell>
          <cell r="E150" t="str">
            <v>Handsworth Grange Community Sports College</v>
          </cell>
          <cell r="F150" t="str">
            <v>Secondary</v>
          </cell>
          <cell r="G150" t="str">
            <v>Recoupment Academy</v>
          </cell>
        </row>
        <row r="151">
          <cell r="D151">
            <v>4257</v>
          </cell>
          <cell r="E151" t="str">
            <v>High Storrs School</v>
          </cell>
          <cell r="F151" t="str">
            <v>Secondary</v>
          </cell>
          <cell r="G151" t="str">
            <v>Recoupment Academy</v>
          </cell>
        </row>
        <row r="152">
          <cell r="D152">
            <v>4230</v>
          </cell>
          <cell r="E152" t="str">
            <v>King Ecgbert School</v>
          </cell>
          <cell r="F152" t="str">
            <v>Secondary</v>
          </cell>
          <cell r="G152" t="str">
            <v>Recoupment Academy</v>
          </cell>
        </row>
        <row r="153">
          <cell r="D153">
            <v>4259</v>
          </cell>
          <cell r="E153" t="str">
            <v>King Edward VII School</v>
          </cell>
          <cell r="F153" t="str">
            <v>Secondary</v>
          </cell>
          <cell r="G153">
            <v>0</v>
          </cell>
        </row>
        <row r="154">
          <cell r="D154">
            <v>4279</v>
          </cell>
          <cell r="E154" t="str">
            <v>Meadowhead School Academy Trust</v>
          </cell>
          <cell r="F154" t="str">
            <v>Secondary</v>
          </cell>
          <cell r="G154" t="str">
            <v>Recoupment Academy</v>
          </cell>
        </row>
        <row r="155">
          <cell r="D155">
            <v>4015</v>
          </cell>
          <cell r="E155" t="str">
            <v>Mercia School</v>
          </cell>
          <cell r="F155" t="str">
            <v>Secondary</v>
          </cell>
          <cell r="G155" t="str">
            <v>Recoupment Academy</v>
          </cell>
        </row>
        <row r="156">
          <cell r="D156">
            <v>4008</v>
          </cell>
          <cell r="E156" t="str">
            <v>Newfield Secondary School</v>
          </cell>
          <cell r="F156" t="str">
            <v>Secondary</v>
          </cell>
          <cell r="G156" t="str">
            <v>Recoupment Academy</v>
          </cell>
        </row>
        <row r="157">
          <cell r="D157">
            <v>5400</v>
          </cell>
          <cell r="E157" t="str">
            <v>Notre Dame High School</v>
          </cell>
          <cell r="F157" t="str">
            <v>Secondary</v>
          </cell>
          <cell r="G157" t="str">
            <v>Recoupment Academy</v>
          </cell>
        </row>
        <row r="158">
          <cell r="D158">
            <v>4006</v>
          </cell>
          <cell r="E158" t="str">
            <v>Outwood Academy City</v>
          </cell>
          <cell r="F158" t="str">
            <v>Secondary</v>
          </cell>
          <cell r="G158" t="str">
            <v>Recoupment Academy</v>
          </cell>
        </row>
        <row r="159">
          <cell r="D159">
            <v>6907</v>
          </cell>
          <cell r="E159" t="str">
            <v>Parkwood E-ACT Academy</v>
          </cell>
          <cell r="F159" t="str">
            <v>Secondary</v>
          </cell>
          <cell r="G159" t="str">
            <v>Recoupment Academy</v>
          </cell>
        </row>
        <row r="160">
          <cell r="D160">
            <v>6905</v>
          </cell>
          <cell r="E160" t="str">
            <v>Sheffield Park Academy</v>
          </cell>
          <cell r="F160" t="str">
            <v>Secondary</v>
          </cell>
          <cell r="G160" t="str">
            <v>Recoupment Academy</v>
          </cell>
        </row>
        <row r="161">
          <cell r="D161">
            <v>6906</v>
          </cell>
          <cell r="E161" t="str">
            <v>Sheffield Springs Academy</v>
          </cell>
          <cell r="F161" t="str">
            <v>Secondary</v>
          </cell>
          <cell r="G161" t="str">
            <v>Recoupment Academy</v>
          </cell>
        </row>
        <row r="162">
          <cell r="D162">
            <v>4229</v>
          </cell>
          <cell r="E162" t="str">
            <v>Silverdale School</v>
          </cell>
          <cell r="F162" t="str">
            <v>Secondary</v>
          </cell>
          <cell r="G162" t="str">
            <v>Recoupment Academy</v>
          </cell>
        </row>
        <row r="163">
          <cell r="D163">
            <v>4271</v>
          </cell>
          <cell r="E163" t="str">
            <v>Stocksbridge High School</v>
          </cell>
          <cell r="F163" t="str">
            <v>Secondary</v>
          </cell>
          <cell r="G163" t="str">
            <v>Recoupment Academy</v>
          </cell>
        </row>
        <row r="164">
          <cell r="D164">
            <v>4234</v>
          </cell>
          <cell r="E164" t="str">
            <v>Tapton School</v>
          </cell>
          <cell r="F164" t="str">
            <v>Secondary</v>
          </cell>
          <cell r="G164" t="str">
            <v>Recoupment Academy</v>
          </cell>
        </row>
        <row r="165">
          <cell r="D165">
            <v>4276</v>
          </cell>
          <cell r="E165" t="str">
            <v>The Birley Academy</v>
          </cell>
          <cell r="F165" t="str">
            <v>Secondary</v>
          </cell>
          <cell r="G165" t="str">
            <v>Recoupment Academy</v>
          </cell>
        </row>
        <row r="166">
          <cell r="D166">
            <v>4004</v>
          </cell>
          <cell r="E166" t="str">
            <v>UTC Sheffield City Centre</v>
          </cell>
          <cell r="F166" t="str">
            <v>Secondary</v>
          </cell>
          <cell r="G166" t="str">
            <v>Recoupment Academy</v>
          </cell>
        </row>
        <row r="167">
          <cell r="D167">
            <v>4010</v>
          </cell>
          <cell r="E167" t="str">
            <v>UTC Sheffield Olympic Legacy Park</v>
          </cell>
          <cell r="F167" t="str">
            <v>Secondary</v>
          </cell>
          <cell r="G167" t="str">
            <v>Recoupment Academy</v>
          </cell>
        </row>
        <row r="168">
          <cell r="D168">
            <v>4013</v>
          </cell>
          <cell r="E168" t="str">
            <v>Westfield School</v>
          </cell>
          <cell r="F168" t="str">
            <v>Secondary</v>
          </cell>
          <cell r="G168" t="str">
            <v>Recoupment Academy</v>
          </cell>
        </row>
        <row r="169">
          <cell r="D169">
            <v>4016</v>
          </cell>
          <cell r="E169" t="str">
            <v>Yewlands Academy</v>
          </cell>
          <cell r="F169" t="str">
            <v>Secondary</v>
          </cell>
          <cell r="G169" t="str">
            <v>Recoupment Academy</v>
          </cell>
        </row>
        <row r="171">
          <cell r="E171" t="str">
            <v>Total Secondary</v>
          </cell>
        </row>
        <row r="173">
          <cell r="E173" t="str">
            <v>Middle Deemed Secondary</v>
          </cell>
        </row>
        <row r="175">
          <cell r="D175">
            <v>4014</v>
          </cell>
          <cell r="E175" t="str">
            <v>Astrea Academy Sheffield</v>
          </cell>
          <cell r="F175" t="str">
            <v>All-through</v>
          </cell>
          <cell r="G175" t="str">
            <v>Recoupment Academy</v>
          </cell>
        </row>
        <row r="176">
          <cell r="D176">
            <v>4225</v>
          </cell>
          <cell r="E176" t="str">
            <v>Hinde House 2-16 School</v>
          </cell>
          <cell r="F176" t="str">
            <v>All-through</v>
          </cell>
          <cell r="G176" t="str">
            <v>Recoupment Academy</v>
          </cell>
        </row>
        <row r="177">
          <cell r="D177">
            <v>4005</v>
          </cell>
          <cell r="E177" t="str">
            <v>Oasis Academy Don Valley</v>
          </cell>
          <cell r="F177" t="str">
            <v>All-through</v>
          </cell>
          <cell r="G177" t="str">
            <v>Recoupment Academy</v>
          </cell>
        </row>
        <row r="180">
          <cell r="E180" t="str">
            <v>Total Middle Deemed Secondary</v>
          </cell>
        </row>
        <row r="182">
          <cell r="E182" t="str">
            <v>Total All Schools</v>
          </cell>
        </row>
      </sheetData>
      <sheetData sheetId="5"/>
      <sheetData sheetId="6"/>
      <sheetData sheetId="7"/>
      <sheetData sheetId="8"/>
      <sheetData sheetId="9">
        <row r="2"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</row>
        <row r="4">
          <cell r="H4" t="str">
            <v>2022-23</v>
          </cell>
          <cell r="I4" t="str">
            <v>2023-24</v>
          </cell>
        </row>
        <row r="5">
          <cell r="D5" t="str">
            <v>DfE</v>
          </cell>
          <cell r="E5" t="str">
            <v>School_Name</v>
          </cell>
          <cell r="F5" t="str">
            <v>Phase</v>
          </cell>
          <cell r="G5" t="str">
            <v xml:space="preserve">Academy Type </v>
          </cell>
          <cell r="H5" t="str">
            <v>NOR 22-23</v>
          </cell>
          <cell r="I5" t="str">
            <v>NOR 23-24</v>
          </cell>
        </row>
        <row r="6">
          <cell r="D6">
            <v>2001</v>
          </cell>
          <cell r="E6" t="str">
            <v>Abbey Lane Primary School</v>
          </cell>
          <cell r="F6" t="str">
            <v>Primary</v>
          </cell>
          <cell r="G6">
            <v>0</v>
          </cell>
          <cell r="H6">
            <v>557</v>
          </cell>
          <cell r="I6">
            <v>546</v>
          </cell>
        </row>
        <row r="7">
          <cell r="D7">
            <v>2046</v>
          </cell>
          <cell r="E7" t="str">
            <v>Abbeyfield Primary Academy</v>
          </cell>
          <cell r="F7" t="str">
            <v>Primary</v>
          </cell>
          <cell r="G7" t="str">
            <v>Recoupment Academy</v>
          </cell>
          <cell r="H7">
            <v>354</v>
          </cell>
          <cell r="I7">
            <v>372</v>
          </cell>
        </row>
        <row r="8">
          <cell r="D8">
            <v>2048</v>
          </cell>
          <cell r="E8" t="str">
            <v>Acres Hill Community Primary School</v>
          </cell>
          <cell r="F8" t="str">
            <v>Primary</v>
          </cell>
          <cell r="G8" t="str">
            <v>Recoupment Academy</v>
          </cell>
          <cell r="H8">
            <v>194</v>
          </cell>
          <cell r="I8">
            <v>205</v>
          </cell>
        </row>
        <row r="9">
          <cell r="D9">
            <v>2342</v>
          </cell>
          <cell r="E9" t="str">
            <v>Angram Bank Primary School</v>
          </cell>
          <cell r="F9" t="str">
            <v>Primary</v>
          </cell>
          <cell r="G9">
            <v>0</v>
          </cell>
          <cell r="H9">
            <v>195</v>
          </cell>
          <cell r="I9">
            <v>184</v>
          </cell>
        </row>
        <row r="10">
          <cell r="D10">
            <v>2343</v>
          </cell>
          <cell r="E10" t="str">
            <v>Anns Grove Primary School</v>
          </cell>
          <cell r="F10" t="str">
            <v>Primary</v>
          </cell>
          <cell r="G10">
            <v>0</v>
          </cell>
          <cell r="H10">
            <v>324</v>
          </cell>
          <cell r="I10">
            <v>334</v>
          </cell>
        </row>
        <row r="11">
          <cell r="D11">
            <v>3429</v>
          </cell>
          <cell r="E11" t="str">
            <v>Arbourthorne Community Primary School</v>
          </cell>
          <cell r="F11" t="str">
            <v>Primary</v>
          </cell>
          <cell r="G11">
            <v>0</v>
          </cell>
          <cell r="H11">
            <v>403</v>
          </cell>
          <cell r="I11">
            <v>420</v>
          </cell>
        </row>
        <row r="12">
          <cell r="D12">
            <v>2340</v>
          </cell>
          <cell r="E12" t="str">
            <v>Athelstan Primary School</v>
          </cell>
          <cell r="F12" t="str">
            <v>Primary</v>
          </cell>
          <cell r="G12">
            <v>0</v>
          </cell>
          <cell r="H12">
            <v>615</v>
          </cell>
          <cell r="I12">
            <v>614</v>
          </cell>
        </row>
        <row r="13">
          <cell r="D13">
            <v>2281</v>
          </cell>
          <cell r="E13" t="str">
            <v>Ballifield Primary School</v>
          </cell>
          <cell r="F13" t="str">
            <v>Primary</v>
          </cell>
          <cell r="G13">
            <v>0</v>
          </cell>
          <cell r="H13">
            <v>415</v>
          </cell>
          <cell r="I13">
            <v>415</v>
          </cell>
        </row>
        <row r="14">
          <cell r="D14">
            <v>2322</v>
          </cell>
          <cell r="E14" t="str">
            <v>Bankwood Community Primary School</v>
          </cell>
          <cell r="F14" t="str">
            <v>Primary</v>
          </cell>
          <cell r="G14">
            <v>0</v>
          </cell>
          <cell r="H14">
            <v>363</v>
          </cell>
          <cell r="I14">
            <v>384</v>
          </cell>
        </row>
        <row r="15">
          <cell r="D15">
            <v>2274</v>
          </cell>
          <cell r="E15" t="str">
            <v>Beck Primary School</v>
          </cell>
          <cell r="F15" t="str">
            <v>Primary</v>
          </cell>
          <cell r="G15" t="str">
            <v>Recoupment Academy</v>
          </cell>
          <cell r="H15">
            <v>610</v>
          </cell>
          <cell r="I15">
            <v>615</v>
          </cell>
        </row>
        <row r="16">
          <cell r="D16">
            <v>2241</v>
          </cell>
          <cell r="E16" t="str">
            <v>Beighton Nursery Infant School</v>
          </cell>
          <cell r="F16" t="str">
            <v>Primary</v>
          </cell>
          <cell r="G16">
            <v>0</v>
          </cell>
          <cell r="H16">
            <v>249</v>
          </cell>
          <cell r="I16">
            <v>242</v>
          </cell>
        </row>
        <row r="17">
          <cell r="D17">
            <v>2353</v>
          </cell>
          <cell r="E17" t="str">
            <v>Birley Primary Academy</v>
          </cell>
          <cell r="F17" t="str">
            <v>Primary</v>
          </cell>
          <cell r="G17" t="str">
            <v>Recoupment Academy</v>
          </cell>
          <cell r="H17">
            <v>533</v>
          </cell>
          <cell r="I17">
            <v>528</v>
          </cell>
        </row>
        <row r="18">
          <cell r="D18">
            <v>2323</v>
          </cell>
          <cell r="E18" t="str">
            <v>Birley Spa Primary Academy</v>
          </cell>
          <cell r="F18" t="str">
            <v>Primary</v>
          </cell>
          <cell r="G18" t="str">
            <v>Recoupment Academy</v>
          </cell>
          <cell r="H18">
            <v>355</v>
          </cell>
          <cell r="I18">
            <v>337</v>
          </cell>
        </row>
        <row r="19">
          <cell r="D19">
            <v>2328</v>
          </cell>
          <cell r="E19" t="str">
            <v>Bradfield Dungworth Primary School</v>
          </cell>
          <cell r="F19" t="str">
            <v>Primary</v>
          </cell>
          <cell r="G19" t="str">
            <v>Recoupment Academy</v>
          </cell>
          <cell r="H19">
            <v>126</v>
          </cell>
          <cell r="I19">
            <v>137</v>
          </cell>
        </row>
        <row r="20">
          <cell r="D20">
            <v>2233</v>
          </cell>
          <cell r="E20" t="str">
            <v>Bradway Primary School</v>
          </cell>
          <cell r="F20" t="str">
            <v>Primary</v>
          </cell>
          <cell r="G20">
            <v>0</v>
          </cell>
          <cell r="H20">
            <v>413</v>
          </cell>
          <cell r="I20">
            <v>414</v>
          </cell>
        </row>
        <row r="21">
          <cell r="D21">
            <v>2014</v>
          </cell>
          <cell r="E21" t="str">
            <v>Brightside Nursery and Infant School</v>
          </cell>
          <cell r="F21" t="str">
            <v>Primary</v>
          </cell>
          <cell r="G21">
            <v>0</v>
          </cell>
          <cell r="H21">
            <v>171</v>
          </cell>
          <cell r="I21">
            <v>173</v>
          </cell>
        </row>
        <row r="22">
          <cell r="D22">
            <v>2246</v>
          </cell>
          <cell r="E22" t="str">
            <v>Brook House Junior</v>
          </cell>
          <cell r="F22" t="str">
            <v>Primary</v>
          </cell>
          <cell r="G22" t="str">
            <v>Recoupment Academy</v>
          </cell>
          <cell r="H22">
            <v>339</v>
          </cell>
          <cell r="I22">
            <v>340</v>
          </cell>
        </row>
        <row r="23">
          <cell r="D23">
            <v>5204</v>
          </cell>
          <cell r="E23" t="str">
            <v>Broomhill Infant School</v>
          </cell>
          <cell r="F23" t="str">
            <v>Primary</v>
          </cell>
          <cell r="G23">
            <v>0</v>
          </cell>
          <cell r="H23">
            <v>112</v>
          </cell>
          <cell r="I23">
            <v>119</v>
          </cell>
        </row>
        <row r="24">
          <cell r="D24">
            <v>2325</v>
          </cell>
          <cell r="E24" t="str">
            <v>Brunswick Community Primary School</v>
          </cell>
          <cell r="F24" t="str">
            <v>Primary</v>
          </cell>
          <cell r="G24">
            <v>0</v>
          </cell>
          <cell r="H24">
            <v>413</v>
          </cell>
          <cell r="I24">
            <v>417</v>
          </cell>
        </row>
        <row r="25">
          <cell r="D25">
            <v>2095</v>
          </cell>
          <cell r="E25" t="str">
            <v>Byron Wood Primary Academy</v>
          </cell>
          <cell r="F25" t="str">
            <v>Primary</v>
          </cell>
          <cell r="G25" t="str">
            <v>Recoupment Academy</v>
          </cell>
          <cell r="H25">
            <v>395</v>
          </cell>
          <cell r="I25">
            <v>395</v>
          </cell>
        </row>
        <row r="26">
          <cell r="D26">
            <v>2344</v>
          </cell>
          <cell r="E26" t="str">
            <v>Carfield Primary School</v>
          </cell>
          <cell r="F26" t="str">
            <v>Primary</v>
          </cell>
          <cell r="G26">
            <v>0</v>
          </cell>
          <cell r="H26">
            <v>550</v>
          </cell>
          <cell r="I26">
            <v>570</v>
          </cell>
        </row>
        <row r="27">
          <cell r="D27">
            <v>2023</v>
          </cell>
          <cell r="E27" t="str">
            <v>Carter Knowle Junior School</v>
          </cell>
          <cell r="F27" t="str">
            <v>Primary</v>
          </cell>
          <cell r="G27">
            <v>0</v>
          </cell>
          <cell r="H27">
            <v>223</v>
          </cell>
          <cell r="I27">
            <v>236</v>
          </cell>
        </row>
        <row r="28">
          <cell r="D28">
            <v>2354</v>
          </cell>
          <cell r="E28" t="str">
            <v>Charnock Hall Primary Academy</v>
          </cell>
          <cell r="F28" t="str">
            <v>Primary</v>
          </cell>
          <cell r="G28" t="str">
            <v>Recoupment Academy</v>
          </cell>
          <cell r="H28">
            <v>401</v>
          </cell>
          <cell r="I28">
            <v>407</v>
          </cell>
        </row>
        <row r="29">
          <cell r="D29">
            <v>5200</v>
          </cell>
          <cell r="E29" t="str">
            <v>Clifford All Saints CofE Primary School</v>
          </cell>
          <cell r="F29" t="str">
            <v>Primary</v>
          </cell>
          <cell r="G29">
            <v>0</v>
          </cell>
          <cell r="H29">
            <v>191</v>
          </cell>
          <cell r="I29">
            <v>184</v>
          </cell>
        </row>
        <row r="30">
          <cell r="D30">
            <v>2312</v>
          </cell>
          <cell r="E30" t="str">
            <v>Coit Primary School</v>
          </cell>
          <cell r="F30" t="str">
            <v>Primary</v>
          </cell>
          <cell r="G30">
            <v>0</v>
          </cell>
          <cell r="H30">
            <v>201</v>
          </cell>
          <cell r="I30">
            <v>205</v>
          </cell>
        </row>
        <row r="31">
          <cell r="D31">
            <v>2026</v>
          </cell>
          <cell r="E31" t="str">
            <v>Concord Junior School</v>
          </cell>
          <cell r="F31" t="str">
            <v>Primary</v>
          </cell>
          <cell r="G31" t="str">
            <v>Recoupment Academy</v>
          </cell>
          <cell r="H31">
            <v>190</v>
          </cell>
          <cell r="I31">
            <v>198</v>
          </cell>
        </row>
        <row r="32">
          <cell r="D32">
            <v>3422</v>
          </cell>
          <cell r="E32" t="str">
            <v>Deepcar St John's Church of England Junior School</v>
          </cell>
          <cell r="F32" t="str">
            <v>Primary</v>
          </cell>
          <cell r="G32">
            <v>0</v>
          </cell>
          <cell r="H32">
            <v>166</v>
          </cell>
          <cell r="I32">
            <v>175</v>
          </cell>
        </row>
        <row r="33">
          <cell r="D33">
            <v>2283</v>
          </cell>
          <cell r="E33" t="str">
            <v>Dobcroft Infant School</v>
          </cell>
          <cell r="F33" t="str">
            <v>Primary</v>
          </cell>
          <cell r="G33">
            <v>0</v>
          </cell>
          <cell r="H33">
            <v>270</v>
          </cell>
          <cell r="I33">
            <v>269</v>
          </cell>
        </row>
        <row r="34">
          <cell r="D34">
            <v>2239</v>
          </cell>
          <cell r="E34" t="str">
            <v>Dobcroft Junior School</v>
          </cell>
          <cell r="F34" t="str">
            <v>Primary</v>
          </cell>
          <cell r="G34">
            <v>0</v>
          </cell>
          <cell r="H34">
            <v>419</v>
          </cell>
          <cell r="I34">
            <v>382</v>
          </cell>
        </row>
        <row r="35">
          <cell r="D35">
            <v>2364</v>
          </cell>
          <cell r="E35" t="str">
            <v>Dore Primary School</v>
          </cell>
          <cell r="F35" t="str">
            <v>Primary</v>
          </cell>
          <cell r="G35">
            <v>0</v>
          </cell>
          <cell r="H35">
            <v>446</v>
          </cell>
          <cell r="I35">
            <v>448</v>
          </cell>
        </row>
        <row r="36">
          <cell r="D36">
            <v>2016</v>
          </cell>
          <cell r="E36" t="str">
            <v>E-ACT Pathways Academy</v>
          </cell>
          <cell r="F36" t="str">
            <v>Primary</v>
          </cell>
          <cell r="G36" t="str">
            <v>Recoupment Academy</v>
          </cell>
          <cell r="H36">
            <v>350</v>
          </cell>
          <cell r="I36">
            <v>365</v>
          </cell>
        </row>
        <row r="37">
          <cell r="D37">
            <v>2206</v>
          </cell>
          <cell r="E37" t="str">
            <v>Ecclesall Primary School</v>
          </cell>
          <cell r="F37" t="str">
            <v>Primary</v>
          </cell>
          <cell r="G37">
            <v>0</v>
          </cell>
          <cell r="H37">
            <v>601</v>
          </cell>
          <cell r="I37">
            <v>620</v>
          </cell>
        </row>
        <row r="38">
          <cell r="D38">
            <v>2080</v>
          </cell>
          <cell r="E38" t="str">
            <v>Ecclesfield Primary School</v>
          </cell>
          <cell r="F38" t="str">
            <v>Primary</v>
          </cell>
          <cell r="G38">
            <v>0</v>
          </cell>
          <cell r="H38">
            <v>392</v>
          </cell>
          <cell r="I38">
            <v>395</v>
          </cell>
        </row>
        <row r="39">
          <cell r="D39">
            <v>2024</v>
          </cell>
          <cell r="E39" t="str">
            <v>Emmanuel Anglican/Methodist Junior School</v>
          </cell>
          <cell r="F39" t="str">
            <v>Primary</v>
          </cell>
          <cell r="G39" t="str">
            <v>Recoupment Academy</v>
          </cell>
          <cell r="H39">
            <v>187</v>
          </cell>
          <cell r="I39">
            <v>173</v>
          </cell>
        </row>
        <row r="40">
          <cell r="D40">
            <v>2028</v>
          </cell>
          <cell r="E40" t="str">
            <v>Emmaus Catholic and CofE Primary School</v>
          </cell>
          <cell r="F40" t="str">
            <v>Primary</v>
          </cell>
          <cell r="G40" t="str">
            <v>Recoupment Academy</v>
          </cell>
          <cell r="H40">
            <v>296</v>
          </cell>
          <cell r="I40">
            <v>293</v>
          </cell>
        </row>
        <row r="41">
          <cell r="D41">
            <v>2010</v>
          </cell>
          <cell r="E41" t="str">
            <v>Fox Hill Primary</v>
          </cell>
          <cell r="F41" t="str">
            <v>Primary</v>
          </cell>
          <cell r="G41" t="str">
            <v>Recoupment Academy</v>
          </cell>
          <cell r="H41">
            <v>291</v>
          </cell>
          <cell r="I41">
            <v>274</v>
          </cell>
        </row>
        <row r="42">
          <cell r="D42">
            <v>2036</v>
          </cell>
          <cell r="E42" t="str">
            <v>Gleadless Primary School</v>
          </cell>
          <cell r="F42" t="str">
            <v>Primary</v>
          </cell>
          <cell r="G42">
            <v>0</v>
          </cell>
          <cell r="H42">
            <v>393</v>
          </cell>
          <cell r="I42">
            <v>398</v>
          </cell>
        </row>
        <row r="43">
          <cell r="D43">
            <v>2305</v>
          </cell>
          <cell r="E43" t="str">
            <v>Greengate Lane Academy</v>
          </cell>
          <cell r="F43" t="str">
            <v>Primary</v>
          </cell>
          <cell r="G43" t="str">
            <v>Recoupment Academy</v>
          </cell>
          <cell r="H43">
            <v>187</v>
          </cell>
          <cell r="I43">
            <v>190</v>
          </cell>
        </row>
        <row r="44">
          <cell r="D44">
            <v>2341</v>
          </cell>
          <cell r="E44" t="str">
            <v>Greenhill Primary School</v>
          </cell>
          <cell r="F44" t="str">
            <v>Primary</v>
          </cell>
          <cell r="G44" t="str">
            <v>Recoupment Academy</v>
          </cell>
          <cell r="H44">
            <v>466</v>
          </cell>
          <cell r="I44">
            <v>468</v>
          </cell>
        </row>
        <row r="45">
          <cell r="D45">
            <v>2296</v>
          </cell>
          <cell r="E45" t="str">
            <v>Grenoside Community Primary School</v>
          </cell>
          <cell r="F45" t="str">
            <v>Primary</v>
          </cell>
          <cell r="G45">
            <v>0</v>
          </cell>
          <cell r="H45">
            <v>314</v>
          </cell>
          <cell r="I45">
            <v>322</v>
          </cell>
        </row>
        <row r="46">
          <cell r="D46">
            <v>2356</v>
          </cell>
          <cell r="E46" t="str">
            <v>Greystones Primary School</v>
          </cell>
          <cell r="F46" t="str">
            <v>Primary</v>
          </cell>
          <cell r="G46">
            <v>0</v>
          </cell>
          <cell r="H46">
            <v>625</v>
          </cell>
          <cell r="I46">
            <v>613</v>
          </cell>
        </row>
        <row r="47">
          <cell r="D47">
            <v>2279</v>
          </cell>
          <cell r="E47" t="str">
            <v>Halfway Junior School</v>
          </cell>
          <cell r="F47" t="str">
            <v>Primary</v>
          </cell>
          <cell r="G47">
            <v>0</v>
          </cell>
          <cell r="H47">
            <v>211</v>
          </cell>
          <cell r="I47">
            <v>206</v>
          </cell>
        </row>
        <row r="48">
          <cell r="D48">
            <v>2252</v>
          </cell>
          <cell r="E48" t="str">
            <v>Halfway Nursery Infant School</v>
          </cell>
          <cell r="F48" t="str">
            <v>Primary</v>
          </cell>
          <cell r="G48">
            <v>0</v>
          </cell>
          <cell r="H48">
            <v>156</v>
          </cell>
          <cell r="I48">
            <v>157</v>
          </cell>
        </row>
        <row r="49">
          <cell r="D49">
            <v>2357</v>
          </cell>
          <cell r="E49" t="str">
            <v>Hallam Primary School</v>
          </cell>
          <cell r="F49" t="str">
            <v>Primary</v>
          </cell>
          <cell r="G49" t="str">
            <v>Recoupment Academy</v>
          </cell>
          <cell r="H49">
            <v>624</v>
          </cell>
          <cell r="I49">
            <v>633</v>
          </cell>
        </row>
        <row r="50">
          <cell r="D50">
            <v>2050</v>
          </cell>
          <cell r="E50" t="str">
            <v>Hartley Brook Primary School</v>
          </cell>
          <cell r="F50" t="str">
            <v>Primary</v>
          </cell>
          <cell r="G50" t="str">
            <v>Recoupment Academy</v>
          </cell>
          <cell r="H50">
            <v>594</v>
          </cell>
          <cell r="I50">
            <v>570</v>
          </cell>
        </row>
        <row r="51">
          <cell r="D51">
            <v>2049</v>
          </cell>
          <cell r="E51" t="str">
            <v>Hatfield Academy</v>
          </cell>
          <cell r="F51" t="str">
            <v>Primary</v>
          </cell>
          <cell r="G51" t="str">
            <v>Recoupment Academy</v>
          </cell>
          <cell r="H51">
            <v>371</v>
          </cell>
          <cell r="I51">
            <v>374</v>
          </cell>
        </row>
        <row r="52">
          <cell r="D52">
            <v>2297</v>
          </cell>
          <cell r="E52" t="str">
            <v>High Green Primary School</v>
          </cell>
          <cell r="F52" t="str">
            <v>Primary</v>
          </cell>
          <cell r="G52">
            <v>0</v>
          </cell>
          <cell r="H52">
            <v>199</v>
          </cell>
          <cell r="I52">
            <v>194</v>
          </cell>
        </row>
        <row r="53">
          <cell r="D53">
            <v>2042</v>
          </cell>
          <cell r="E53" t="str">
            <v>High Hazels Junior School</v>
          </cell>
          <cell r="F53" t="str">
            <v>Primary</v>
          </cell>
          <cell r="G53" t="str">
            <v>Recoupment Academy</v>
          </cell>
          <cell r="H53">
            <v>351</v>
          </cell>
          <cell r="I53">
            <v>356</v>
          </cell>
        </row>
        <row r="54">
          <cell r="D54">
            <v>2039</v>
          </cell>
          <cell r="E54" t="str">
            <v>High Hazels Nursery Infant Academy</v>
          </cell>
          <cell r="F54" t="str">
            <v>Primary</v>
          </cell>
          <cell r="G54" t="str">
            <v>Recoupment Academy</v>
          </cell>
          <cell r="H54">
            <v>229</v>
          </cell>
          <cell r="I54">
            <v>248</v>
          </cell>
        </row>
        <row r="55">
          <cell r="D55">
            <v>2339</v>
          </cell>
          <cell r="E55" t="str">
            <v>Hillsborough Primary School</v>
          </cell>
          <cell r="F55" t="str">
            <v>Primary</v>
          </cell>
          <cell r="G55" t="str">
            <v>Recoupment Academy</v>
          </cell>
          <cell r="H55">
            <v>347</v>
          </cell>
          <cell r="I55">
            <v>340</v>
          </cell>
        </row>
        <row r="56">
          <cell r="D56">
            <v>2213</v>
          </cell>
          <cell r="E56" t="str">
            <v>Holt House Infant School</v>
          </cell>
          <cell r="F56" t="str">
            <v>Primary</v>
          </cell>
          <cell r="G56">
            <v>0</v>
          </cell>
          <cell r="H56">
            <v>179</v>
          </cell>
          <cell r="I56">
            <v>179</v>
          </cell>
        </row>
        <row r="57">
          <cell r="D57">
            <v>2337</v>
          </cell>
          <cell r="E57" t="str">
            <v>Hucklow Primary School</v>
          </cell>
          <cell r="F57" t="str">
            <v>Primary</v>
          </cell>
          <cell r="G57" t="str">
            <v>Recoupment Academy</v>
          </cell>
          <cell r="H57">
            <v>413</v>
          </cell>
          <cell r="I57">
            <v>407</v>
          </cell>
        </row>
        <row r="58">
          <cell r="D58">
            <v>2060</v>
          </cell>
          <cell r="E58" t="str">
            <v>Hunter's Bar Infant School</v>
          </cell>
          <cell r="F58" t="str">
            <v>Primary</v>
          </cell>
          <cell r="G58">
            <v>0</v>
          </cell>
          <cell r="H58">
            <v>267</v>
          </cell>
          <cell r="I58">
            <v>269</v>
          </cell>
        </row>
        <row r="59">
          <cell r="D59">
            <v>2058</v>
          </cell>
          <cell r="E59" t="str">
            <v>Hunter's Bar Junior School</v>
          </cell>
          <cell r="F59" t="str">
            <v>Primary</v>
          </cell>
          <cell r="G59">
            <v>0</v>
          </cell>
          <cell r="H59">
            <v>362</v>
          </cell>
          <cell r="I59">
            <v>362</v>
          </cell>
        </row>
        <row r="60">
          <cell r="D60">
            <v>2063</v>
          </cell>
          <cell r="E60" t="str">
            <v>Intake Primary School</v>
          </cell>
          <cell r="F60" t="str">
            <v>Primary</v>
          </cell>
          <cell r="G60">
            <v>0</v>
          </cell>
          <cell r="H60">
            <v>409</v>
          </cell>
          <cell r="I60">
            <v>413</v>
          </cell>
        </row>
        <row r="61">
          <cell r="D61">
            <v>2261</v>
          </cell>
          <cell r="E61" t="str">
            <v>Limpsfield Junior School</v>
          </cell>
          <cell r="F61" t="str">
            <v>Primary</v>
          </cell>
          <cell r="G61">
            <v>0</v>
          </cell>
          <cell r="H61">
            <v>235</v>
          </cell>
          <cell r="I61">
            <v>225</v>
          </cell>
        </row>
        <row r="62">
          <cell r="D62">
            <v>2315</v>
          </cell>
          <cell r="E62" t="str">
            <v>Lound Infant School</v>
          </cell>
          <cell r="F62" t="str">
            <v>Primary</v>
          </cell>
          <cell r="G62" t="str">
            <v>Recoupment Academy</v>
          </cell>
          <cell r="H62">
            <v>145</v>
          </cell>
          <cell r="I62">
            <v>148</v>
          </cell>
        </row>
        <row r="63">
          <cell r="D63">
            <v>2298</v>
          </cell>
          <cell r="E63" t="str">
            <v>Lound Junior School</v>
          </cell>
          <cell r="F63" t="str">
            <v>Primary</v>
          </cell>
          <cell r="G63" t="str">
            <v>Recoupment Academy</v>
          </cell>
          <cell r="H63">
            <v>209</v>
          </cell>
          <cell r="I63">
            <v>211</v>
          </cell>
        </row>
        <row r="64">
          <cell r="D64">
            <v>2029</v>
          </cell>
          <cell r="E64" t="str">
            <v>Lowedges Junior Academy</v>
          </cell>
          <cell r="F64" t="str">
            <v>Primary</v>
          </cell>
          <cell r="G64" t="str">
            <v>Recoupment Academy</v>
          </cell>
          <cell r="H64">
            <v>302</v>
          </cell>
          <cell r="I64">
            <v>299</v>
          </cell>
        </row>
        <row r="65">
          <cell r="D65">
            <v>2045</v>
          </cell>
          <cell r="E65" t="str">
            <v>Lower Meadow Primary School</v>
          </cell>
          <cell r="F65" t="str">
            <v>Primary</v>
          </cell>
          <cell r="G65" t="str">
            <v>Recoupment Academy</v>
          </cell>
          <cell r="H65">
            <v>249</v>
          </cell>
          <cell r="I65">
            <v>259</v>
          </cell>
        </row>
        <row r="66">
          <cell r="D66">
            <v>2070</v>
          </cell>
          <cell r="E66" t="str">
            <v>Lowfield Community Primary School</v>
          </cell>
          <cell r="F66" t="str">
            <v>Primary</v>
          </cell>
          <cell r="G66">
            <v>0</v>
          </cell>
          <cell r="H66">
            <v>365</v>
          </cell>
          <cell r="I66">
            <v>379</v>
          </cell>
        </row>
        <row r="67">
          <cell r="D67">
            <v>2292</v>
          </cell>
          <cell r="E67" t="str">
            <v>Loxley Primary School</v>
          </cell>
          <cell r="F67" t="str">
            <v>Primary</v>
          </cell>
          <cell r="G67" t="str">
            <v>Recoupment Academy</v>
          </cell>
          <cell r="H67">
            <v>209</v>
          </cell>
          <cell r="I67">
            <v>210</v>
          </cell>
        </row>
        <row r="68">
          <cell r="D68">
            <v>2072</v>
          </cell>
          <cell r="E68" t="str">
            <v>Lydgate Infant School</v>
          </cell>
          <cell r="F68" t="str">
            <v>Primary</v>
          </cell>
          <cell r="G68">
            <v>0</v>
          </cell>
          <cell r="H68">
            <v>356</v>
          </cell>
          <cell r="I68">
            <v>344</v>
          </cell>
        </row>
        <row r="69">
          <cell r="D69">
            <v>2071</v>
          </cell>
          <cell r="E69" t="str">
            <v>Lydgate Junior School</v>
          </cell>
          <cell r="F69" t="str">
            <v>Primary</v>
          </cell>
          <cell r="G69">
            <v>0</v>
          </cell>
          <cell r="H69">
            <v>475</v>
          </cell>
          <cell r="I69">
            <v>479</v>
          </cell>
        </row>
        <row r="70">
          <cell r="D70">
            <v>2358</v>
          </cell>
          <cell r="E70" t="str">
            <v>Malin Bridge Primary School</v>
          </cell>
          <cell r="F70" t="str">
            <v>Primary</v>
          </cell>
          <cell r="G70" t="str">
            <v>Recoupment Academy</v>
          </cell>
          <cell r="H70">
            <v>522</v>
          </cell>
          <cell r="I70">
            <v>517</v>
          </cell>
        </row>
        <row r="71">
          <cell r="D71">
            <v>2359</v>
          </cell>
          <cell r="E71" t="str">
            <v>Manor Lodge Community Primary and Nursery School</v>
          </cell>
          <cell r="F71" t="str">
            <v>Primary</v>
          </cell>
          <cell r="G71" t="str">
            <v>Recoupment Academy</v>
          </cell>
          <cell r="H71">
            <v>319</v>
          </cell>
          <cell r="I71">
            <v>333</v>
          </cell>
        </row>
        <row r="72">
          <cell r="D72">
            <v>2012</v>
          </cell>
          <cell r="E72" t="str">
            <v>Mansel Primary</v>
          </cell>
          <cell r="F72" t="str">
            <v>Primary</v>
          </cell>
          <cell r="G72" t="str">
            <v>Recoupment Academy</v>
          </cell>
          <cell r="H72">
            <v>385</v>
          </cell>
          <cell r="I72">
            <v>399</v>
          </cell>
        </row>
        <row r="73">
          <cell r="D73">
            <v>2079</v>
          </cell>
          <cell r="E73" t="str">
            <v>Marlcliffe Community Primary School</v>
          </cell>
          <cell r="F73" t="str">
            <v>Primary</v>
          </cell>
          <cell r="G73">
            <v>0</v>
          </cell>
          <cell r="H73">
            <v>509</v>
          </cell>
          <cell r="I73">
            <v>501</v>
          </cell>
        </row>
        <row r="74">
          <cell r="D74">
            <v>2081</v>
          </cell>
          <cell r="E74" t="str">
            <v>Meersbrook Bank Primary School</v>
          </cell>
          <cell r="F74" t="str">
            <v>Primary</v>
          </cell>
          <cell r="G74">
            <v>0</v>
          </cell>
          <cell r="H74">
            <v>200</v>
          </cell>
          <cell r="I74">
            <v>207</v>
          </cell>
        </row>
        <row r="75">
          <cell r="D75">
            <v>2013</v>
          </cell>
          <cell r="E75" t="str">
            <v>Meynell Community Primary School</v>
          </cell>
          <cell r="F75" t="str">
            <v>Primary</v>
          </cell>
          <cell r="G75" t="str">
            <v>Recoupment Academy</v>
          </cell>
          <cell r="H75">
            <v>361</v>
          </cell>
          <cell r="I75">
            <v>368</v>
          </cell>
        </row>
        <row r="76">
          <cell r="D76">
            <v>2346</v>
          </cell>
          <cell r="E76" t="str">
            <v>Monteney Primary School</v>
          </cell>
          <cell r="F76" t="str">
            <v>Primary</v>
          </cell>
          <cell r="G76" t="str">
            <v>Recoupment Academy</v>
          </cell>
          <cell r="H76">
            <v>400</v>
          </cell>
          <cell r="I76">
            <v>404</v>
          </cell>
        </row>
        <row r="77">
          <cell r="D77">
            <v>2257</v>
          </cell>
          <cell r="E77" t="str">
            <v>Mosborough Primary School</v>
          </cell>
          <cell r="F77" t="str">
            <v>Primary</v>
          </cell>
          <cell r="G77">
            <v>0</v>
          </cell>
          <cell r="H77">
            <v>410</v>
          </cell>
          <cell r="I77">
            <v>418</v>
          </cell>
        </row>
        <row r="78">
          <cell r="D78">
            <v>2092</v>
          </cell>
          <cell r="E78" t="str">
            <v>Mundella Primary School</v>
          </cell>
          <cell r="F78" t="str">
            <v>Primary</v>
          </cell>
          <cell r="G78">
            <v>0</v>
          </cell>
          <cell r="H78">
            <v>420</v>
          </cell>
          <cell r="I78">
            <v>416</v>
          </cell>
        </row>
        <row r="79">
          <cell r="D79">
            <v>2002</v>
          </cell>
          <cell r="E79" t="str">
            <v>Nether Edge Primary School</v>
          </cell>
          <cell r="F79" t="str">
            <v>Primary</v>
          </cell>
          <cell r="G79" t="str">
            <v>Recoupment Academy</v>
          </cell>
          <cell r="H79">
            <v>404</v>
          </cell>
          <cell r="I79">
            <v>419</v>
          </cell>
        </row>
        <row r="80">
          <cell r="D80">
            <v>2221</v>
          </cell>
          <cell r="E80" t="str">
            <v>Nether Green Infant School</v>
          </cell>
          <cell r="F80" t="str">
            <v>Primary</v>
          </cell>
          <cell r="G80">
            <v>0</v>
          </cell>
          <cell r="H80">
            <v>211</v>
          </cell>
          <cell r="I80">
            <v>223</v>
          </cell>
        </row>
        <row r="81">
          <cell r="D81">
            <v>2087</v>
          </cell>
          <cell r="E81" t="str">
            <v>Nether Green Junior School</v>
          </cell>
          <cell r="F81" t="str">
            <v>Primary</v>
          </cell>
          <cell r="G81">
            <v>0</v>
          </cell>
          <cell r="H81">
            <v>359</v>
          </cell>
          <cell r="I81">
            <v>377</v>
          </cell>
        </row>
        <row r="82">
          <cell r="D82">
            <v>2272</v>
          </cell>
          <cell r="E82" t="str">
            <v>Netherthorpe Primary School</v>
          </cell>
          <cell r="F82" t="str">
            <v>Primary</v>
          </cell>
          <cell r="G82">
            <v>0</v>
          </cell>
          <cell r="H82">
            <v>206</v>
          </cell>
          <cell r="I82">
            <v>217</v>
          </cell>
        </row>
        <row r="83">
          <cell r="D83">
            <v>2309</v>
          </cell>
          <cell r="E83" t="str">
            <v>Nook Lane Junior School</v>
          </cell>
          <cell r="F83" t="str">
            <v>Primary</v>
          </cell>
          <cell r="G83" t="str">
            <v>Recoupment Academy</v>
          </cell>
          <cell r="H83">
            <v>252</v>
          </cell>
          <cell r="I83">
            <v>243</v>
          </cell>
        </row>
        <row r="84">
          <cell r="D84">
            <v>2051</v>
          </cell>
          <cell r="E84" t="str">
            <v>Norfolk Community Primary School</v>
          </cell>
          <cell r="F84" t="str">
            <v>Primary</v>
          </cell>
          <cell r="G84" t="str">
            <v>Recoupment Academy</v>
          </cell>
          <cell r="H84">
            <v>388</v>
          </cell>
          <cell r="I84">
            <v>384</v>
          </cell>
        </row>
        <row r="85">
          <cell r="D85">
            <v>3010</v>
          </cell>
          <cell r="E85" t="str">
            <v>Norton Free Church of England Primary School</v>
          </cell>
          <cell r="F85" t="str">
            <v>Primary</v>
          </cell>
          <cell r="G85">
            <v>0</v>
          </cell>
          <cell r="H85">
            <v>209</v>
          </cell>
          <cell r="I85">
            <v>213</v>
          </cell>
        </row>
        <row r="86">
          <cell r="D86">
            <v>2018</v>
          </cell>
          <cell r="E86" t="str">
            <v>Oasis Academy Fir Vale</v>
          </cell>
          <cell r="F86" t="str">
            <v>Primary</v>
          </cell>
          <cell r="G86" t="str">
            <v>Recoupment Academy</v>
          </cell>
          <cell r="H86">
            <v>401</v>
          </cell>
          <cell r="I86">
            <v>407</v>
          </cell>
        </row>
        <row r="87">
          <cell r="D87">
            <v>2019</v>
          </cell>
          <cell r="E87" t="str">
            <v>Oasis Academy Watermead</v>
          </cell>
          <cell r="F87" t="str">
            <v>Primary</v>
          </cell>
          <cell r="G87" t="str">
            <v>Recoupment Academy</v>
          </cell>
          <cell r="H87">
            <v>377</v>
          </cell>
          <cell r="I87">
            <v>380</v>
          </cell>
        </row>
        <row r="88">
          <cell r="D88">
            <v>2313</v>
          </cell>
          <cell r="E88" t="str">
            <v>Oughtibridge Primary School</v>
          </cell>
          <cell r="F88" t="str">
            <v>Primary</v>
          </cell>
          <cell r="G88" t="str">
            <v>Recoupment Academy</v>
          </cell>
          <cell r="H88">
            <v>416</v>
          </cell>
          <cell r="I88">
            <v>417</v>
          </cell>
        </row>
        <row r="89">
          <cell r="D89">
            <v>2093</v>
          </cell>
          <cell r="E89" t="str">
            <v>Owler Brook Primary School</v>
          </cell>
          <cell r="F89" t="str">
            <v>Primary</v>
          </cell>
          <cell r="G89" t="str">
            <v>Recoupment Academy</v>
          </cell>
          <cell r="H89">
            <v>384</v>
          </cell>
          <cell r="I89">
            <v>400</v>
          </cell>
        </row>
        <row r="90">
          <cell r="D90">
            <v>3428</v>
          </cell>
          <cell r="E90" t="str">
            <v>Parson Cross Church of England Primary School</v>
          </cell>
          <cell r="F90" t="str">
            <v>Primary</v>
          </cell>
          <cell r="G90">
            <v>0</v>
          </cell>
          <cell r="H90">
            <v>201</v>
          </cell>
          <cell r="I90">
            <v>203</v>
          </cell>
        </row>
        <row r="91">
          <cell r="D91">
            <v>2332</v>
          </cell>
          <cell r="E91" t="str">
            <v>Phillimore Community Primary School</v>
          </cell>
          <cell r="F91" t="str">
            <v>Primary</v>
          </cell>
          <cell r="G91" t="str">
            <v>Recoupment Academy</v>
          </cell>
          <cell r="H91">
            <v>413</v>
          </cell>
          <cell r="I91">
            <v>388</v>
          </cell>
        </row>
        <row r="92">
          <cell r="D92">
            <v>3433</v>
          </cell>
          <cell r="E92" t="str">
            <v>Pipworth Community Primary School</v>
          </cell>
          <cell r="F92" t="str">
            <v>Primary</v>
          </cell>
          <cell r="G92">
            <v>0</v>
          </cell>
          <cell r="H92">
            <v>410</v>
          </cell>
          <cell r="I92">
            <v>394</v>
          </cell>
        </row>
        <row r="93">
          <cell r="D93">
            <v>3427</v>
          </cell>
          <cell r="E93" t="str">
            <v>Porter Croft Church of England Primary Academy</v>
          </cell>
          <cell r="F93" t="str">
            <v>Primary</v>
          </cell>
          <cell r="G93" t="str">
            <v>Recoupment Academy</v>
          </cell>
          <cell r="H93">
            <v>213</v>
          </cell>
          <cell r="I93">
            <v>214</v>
          </cell>
        </row>
        <row r="94">
          <cell r="D94">
            <v>2347</v>
          </cell>
          <cell r="E94" t="str">
            <v>Prince Edward Primary School</v>
          </cell>
          <cell r="F94" t="str">
            <v>Primary</v>
          </cell>
          <cell r="G94">
            <v>0</v>
          </cell>
          <cell r="H94">
            <v>411</v>
          </cell>
          <cell r="I94">
            <v>407</v>
          </cell>
        </row>
        <row r="95">
          <cell r="D95">
            <v>2366</v>
          </cell>
          <cell r="E95" t="str">
            <v>Pye Bank CofE Primary School</v>
          </cell>
          <cell r="F95" t="str">
            <v>Primary</v>
          </cell>
          <cell r="G95" t="str">
            <v>Recoupment Academy</v>
          </cell>
          <cell r="H95">
            <v>393</v>
          </cell>
          <cell r="I95">
            <v>423</v>
          </cell>
        </row>
        <row r="96">
          <cell r="D96">
            <v>2363</v>
          </cell>
          <cell r="E96" t="str">
            <v>Rainbow Forge Primary Academy</v>
          </cell>
          <cell r="F96" t="str">
            <v>Primary</v>
          </cell>
          <cell r="G96" t="str">
            <v>Recoupment Academy</v>
          </cell>
          <cell r="H96">
            <v>288</v>
          </cell>
          <cell r="I96">
            <v>297</v>
          </cell>
        </row>
        <row r="97">
          <cell r="D97">
            <v>2334</v>
          </cell>
          <cell r="E97" t="str">
            <v>Reignhead Primary School</v>
          </cell>
          <cell r="F97" t="str">
            <v>Primary</v>
          </cell>
          <cell r="G97">
            <v>0</v>
          </cell>
          <cell r="H97">
            <v>264</v>
          </cell>
          <cell r="I97">
            <v>244</v>
          </cell>
        </row>
        <row r="98">
          <cell r="D98">
            <v>2338</v>
          </cell>
          <cell r="E98" t="str">
            <v>Rivelin Primary School</v>
          </cell>
          <cell r="F98" t="str">
            <v>Primary</v>
          </cell>
          <cell r="G98">
            <v>0</v>
          </cell>
          <cell r="H98">
            <v>318</v>
          </cell>
          <cell r="I98">
            <v>351</v>
          </cell>
        </row>
        <row r="99">
          <cell r="D99">
            <v>2306</v>
          </cell>
          <cell r="E99" t="str">
            <v>Royd Nursery and Infant School</v>
          </cell>
          <cell r="F99" t="str">
            <v>Primary</v>
          </cell>
          <cell r="G99">
            <v>0</v>
          </cell>
          <cell r="H99">
            <v>130</v>
          </cell>
          <cell r="I99">
            <v>122</v>
          </cell>
        </row>
        <row r="100">
          <cell r="D100">
            <v>3401</v>
          </cell>
          <cell r="E100" t="str">
            <v>Sacred Heart School, A Catholic Voluntary Academy</v>
          </cell>
          <cell r="F100" t="str">
            <v>Primary</v>
          </cell>
          <cell r="G100" t="str">
            <v>Recoupment Academy</v>
          </cell>
          <cell r="H100">
            <v>206</v>
          </cell>
          <cell r="I100">
            <v>200</v>
          </cell>
        </row>
        <row r="101">
          <cell r="D101">
            <v>2369</v>
          </cell>
          <cell r="E101" t="str">
            <v>Sharrow Nursery, Infant and Junior School</v>
          </cell>
          <cell r="F101" t="str">
            <v>Primary</v>
          </cell>
          <cell r="G101">
            <v>0</v>
          </cell>
          <cell r="H101">
            <v>415</v>
          </cell>
          <cell r="I101">
            <v>417</v>
          </cell>
        </row>
        <row r="102">
          <cell r="D102">
            <v>2349</v>
          </cell>
          <cell r="E102" t="str">
            <v>Shooter's Grove Primary School</v>
          </cell>
          <cell r="F102" t="str">
            <v>Primary</v>
          </cell>
          <cell r="G102">
            <v>0</v>
          </cell>
          <cell r="H102">
            <v>354</v>
          </cell>
          <cell r="I102">
            <v>359</v>
          </cell>
        </row>
        <row r="103">
          <cell r="D103">
            <v>2360</v>
          </cell>
          <cell r="E103" t="str">
            <v>Shortbrook Primary School</v>
          </cell>
          <cell r="F103" t="str">
            <v>Primary</v>
          </cell>
          <cell r="G103">
            <v>0</v>
          </cell>
          <cell r="H103">
            <v>88</v>
          </cell>
          <cell r="I103">
            <v>84</v>
          </cell>
        </row>
        <row r="104">
          <cell r="D104">
            <v>2009</v>
          </cell>
          <cell r="E104" t="str">
            <v>Southey Green Primary School and Nurseries</v>
          </cell>
          <cell r="F104" t="str">
            <v>Primary</v>
          </cell>
          <cell r="G104" t="str">
            <v>Recoupment Academy</v>
          </cell>
          <cell r="H104">
            <v>605</v>
          </cell>
          <cell r="I104">
            <v>611</v>
          </cell>
        </row>
        <row r="105">
          <cell r="D105">
            <v>2329</v>
          </cell>
          <cell r="E105" t="str">
            <v>Springfield Primary School</v>
          </cell>
          <cell r="F105" t="str">
            <v>Primary</v>
          </cell>
          <cell r="G105">
            <v>0</v>
          </cell>
          <cell r="H105">
            <v>209</v>
          </cell>
          <cell r="I105">
            <v>208</v>
          </cell>
        </row>
        <row r="106">
          <cell r="D106">
            <v>5202</v>
          </cell>
          <cell r="E106" t="str">
            <v>St Ann's Catholic Primary School, A Voluntary Academy</v>
          </cell>
          <cell r="F106" t="str">
            <v>Primary</v>
          </cell>
          <cell r="G106" t="str">
            <v>Recoupment Academy</v>
          </cell>
          <cell r="H106">
            <v>92</v>
          </cell>
          <cell r="I106">
            <v>99</v>
          </cell>
        </row>
        <row r="107">
          <cell r="D107">
            <v>3402</v>
          </cell>
          <cell r="E107" t="str">
            <v>St Catherine's Catholic Primary School (Hallam)</v>
          </cell>
          <cell r="F107" t="str">
            <v>Primary</v>
          </cell>
          <cell r="G107" t="str">
            <v>Recoupment Academy</v>
          </cell>
          <cell r="H107">
            <v>422</v>
          </cell>
          <cell r="I107">
            <v>421</v>
          </cell>
        </row>
        <row r="108">
          <cell r="D108">
            <v>2017</v>
          </cell>
          <cell r="E108" t="str">
            <v>St John Fisher Primary, A Catholic Voluntary Academy</v>
          </cell>
          <cell r="F108" t="str">
            <v>Primary</v>
          </cell>
          <cell r="G108" t="str">
            <v>Recoupment Academy</v>
          </cell>
          <cell r="H108">
            <v>210</v>
          </cell>
          <cell r="I108">
            <v>208</v>
          </cell>
        </row>
        <row r="109">
          <cell r="D109">
            <v>5203</v>
          </cell>
          <cell r="E109" t="str">
            <v>St Joseph's Primary School</v>
          </cell>
          <cell r="F109" t="str">
            <v>Primary</v>
          </cell>
          <cell r="G109" t="str">
            <v>Recoupment Academy</v>
          </cell>
          <cell r="H109">
            <v>204</v>
          </cell>
          <cell r="I109">
            <v>207</v>
          </cell>
        </row>
        <row r="110">
          <cell r="D110">
            <v>3406</v>
          </cell>
          <cell r="E110" t="str">
            <v>St Marie's School, A Catholic Voluntary Academy</v>
          </cell>
          <cell r="F110" t="str">
            <v>Primary</v>
          </cell>
          <cell r="G110" t="str">
            <v>Recoupment Academy</v>
          </cell>
          <cell r="H110">
            <v>217</v>
          </cell>
          <cell r="I110">
            <v>216</v>
          </cell>
        </row>
        <row r="111">
          <cell r="D111">
            <v>2020</v>
          </cell>
          <cell r="E111" t="str">
            <v>St Mary's Church of England Primary School</v>
          </cell>
          <cell r="F111" t="str">
            <v>Primary</v>
          </cell>
          <cell r="G111" t="str">
            <v>Recoupment Academy</v>
          </cell>
          <cell r="H111">
            <v>197</v>
          </cell>
          <cell r="I111">
            <v>204</v>
          </cell>
        </row>
        <row r="112">
          <cell r="D112">
            <v>3423</v>
          </cell>
          <cell r="E112" t="str">
            <v>St Mary's Primary School, A Catholic Voluntary Academy</v>
          </cell>
          <cell r="F112" t="str">
            <v>Primary</v>
          </cell>
          <cell r="G112" t="str">
            <v>Recoupment Academy</v>
          </cell>
          <cell r="H112">
            <v>188</v>
          </cell>
          <cell r="I112">
            <v>176</v>
          </cell>
        </row>
        <row r="113">
          <cell r="D113">
            <v>5207</v>
          </cell>
          <cell r="E113" t="str">
            <v>St Patrick's Catholic Voluntary Academy</v>
          </cell>
          <cell r="F113" t="str">
            <v>Primary</v>
          </cell>
          <cell r="G113" t="str">
            <v>Recoupment Academy</v>
          </cell>
          <cell r="H113">
            <v>279</v>
          </cell>
          <cell r="I113">
            <v>279</v>
          </cell>
        </row>
        <row r="114">
          <cell r="D114">
            <v>5208</v>
          </cell>
          <cell r="E114" t="str">
            <v>St Theresa's Catholic Primary School</v>
          </cell>
          <cell r="F114" t="str">
            <v>Primary</v>
          </cell>
          <cell r="G114">
            <v>0</v>
          </cell>
          <cell r="H114">
            <v>207</v>
          </cell>
          <cell r="I114">
            <v>207</v>
          </cell>
        </row>
        <row r="115">
          <cell r="D115">
            <v>3424</v>
          </cell>
          <cell r="E115" t="str">
            <v>St Thomas More Catholic Primary, A Voluntary Academy</v>
          </cell>
          <cell r="F115" t="str">
            <v>Primary</v>
          </cell>
          <cell r="G115" t="str">
            <v>Recoupment Academy</v>
          </cell>
          <cell r="H115">
            <v>209</v>
          </cell>
          <cell r="I115">
            <v>208</v>
          </cell>
        </row>
        <row r="116">
          <cell r="D116">
            <v>3414</v>
          </cell>
          <cell r="E116" t="str">
            <v>St Thomas of Canterbury School, a Catholic Voluntary Academy</v>
          </cell>
          <cell r="F116" t="str">
            <v>Primary</v>
          </cell>
          <cell r="G116" t="str">
            <v>Recoupment Academy</v>
          </cell>
          <cell r="H116">
            <v>211</v>
          </cell>
          <cell r="I116">
            <v>210</v>
          </cell>
        </row>
        <row r="117">
          <cell r="D117">
            <v>3412</v>
          </cell>
          <cell r="E117" t="str">
            <v>St Wilfrid's Catholic Primary School</v>
          </cell>
          <cell r="F117" t="str">
            <v>Primary</v>
          </cell>
          <cell r="G117" t="str">
            <v>Recoupment Academy</v>
          </cell>
          <cell r="H117">
            <v>307</v>
          </cell>
          <cell r="I117">
            <v>297</v>
          </cell>
        </row>
        <row r="118">
          <cell r="D118">
            <v>2294</v>
          </cell>
          <cell r="E118" t="str">
            <v>Stannington Infant School</v>
          </cell>
          <cell r="F118" t="str">
            <v>Primary</v>
          </cell>
          <cell r="G118" t="str">
            <v>Recoupment Academy</v>
          </cell>
          <cell r="H118">
            <v>181</v>
          </cell>
          <cell r="I118">
            <v>181</v>
          </cell>
        </row>
        <row r="119">
          <cell r="D119">
            <v>2303</v>
          </cell>
          <cell r="E119" t="str">
            <v>Stocksbridge Junior School</v>
          </cell>
          <cell r="F119" t="str">
            <v>Primary</v>
          </cell>
          <cell r="G119">
            <v>0</v>
          </cell>
          <cell r="H119">
            <v>308</v>
          </cell>
          <cell r="I119">
            <v>295</v>
          </cell>
        </row>
        <row r="120">
          <cell r="D120">
            <v>2302</v>
          </cell>
          <cell r="E120" t="str">
            <v>Stocksbridge Nursery Infant School</v>
          </cell>
          <cell r="F120" t="str">
            <v>Primary</v>
          </cell>
          <cell r="G120" t="str">
            <v>Recoupment Academy</v>
          </cell>
          <cell r="H120">
            <v>194</v>
          </cell>
          <cell r="I120">
            <v>198</v>
          </cell>
        </row>
        <row r="121">
          <cell r="D121">
            <v>2350</v>
          </cell>
          <cell r="E121" t="str">
            <v>Stradbroke Primary School</v>
          </cell>
          <cell r="F121" t="str">
            <v>Primary</v>
          </cell>
          <cell r="G121">
            <v>0</v>
          </cell>
          <cell r="H121">
            <v>412</v>
          </cell>
          <cell r="I121">
            <v>411</v>
          </cell>
        </row>
        <row r="122">
          <cell r="D122">
            <v>2230</v>
          </cell>
          <cell r="E122" t="str">
            <v>Tinsley Meadows Primary School</v>
          </cell>
          <cell r="F122" t="str">
            <v>Primary</v>
          </cell>
          <cell r="G122" t="str">
            <v>Recoupment Academy</v>
          </cell>
          <cell r="H122">
            <v>543</v>
          </cell>
          <cell r="I122">
            <v>545</v>
          </cell>
        </row>
        <row r="123">
          <cell r="D123">
            <v>5206</v>
          </cell>
          <cell r="E123" t="str">
            <v>Totley All Saints Church of England Voluntary Aided Primary School</v>
          </cell>
          <cell r="F123" t="str">
            <v>Primary</v>
          </cell>
          <cell r="G123" t="str">
            <v>Recoupment Academy</v>
          </cell>
          <cell r="H123">
            <v>214</v>
          </cell>
          <cell r="I123">
            <v>211</v>
          </cell>
        </row>
        <row r="124">
          <cell r="D124">
            <v>2203</v>
          </cell>
          <cell r="E124" t="str">
            <v>Totley Primary School</v>
          </cell>
          <cell r="F124" t="str">
            <v>Primary</v>
          </cell>
          <cell r="G124" t="str">
            <v>Recoupment Academy</v>
          </cell>
          <cell r="H124">
            <v>399</v>
          </cell>
          <cell r="I124">
            <v>423</v>
          </cell>
        </row>
        <row r="125">
          <cell r="D125">
            <v>2351</v>
          </cell>
          <cell r="E125" t="str">
            <v>Walkley Primary School</v>
          </cell>
          <cell r="F125" t="str">
            <v>Primary</v>
          </cell>
          <cell r="G125">
            <v>0</v>
          </cell>
          <cell r="H125">
            <v>345</v>
          </cell>
          <cell r="I125">
            <v>377</v>
          </cell>
        </row>
        <row r="126">
          <cell r="D126">
            <v>3432</v>
          </cell>
          <cell r="E126" t="str">
            <v>Watercliffe Meadow Community Primary School</v>
          </cell>
          <cell r="F126" t="str">
            <v>Primary</v>
          </cell>
          <cell r="G126">
            <v>0</v>
          </cell>
          <cell r="H126">
            <v>407</v>
          </cell>
          <cell r="I126">
            <v>417</v>
          </cell>
        </row>
        <row r="127">
          <cell r="D127">
            <v>2319</v>
          </cell>
          <cell r="E127" t="str">
            <v>Waterthorpe Infant School</v>
          </cell>
          <cell r="F127" t="str">
            <v>Primary</v>
          </cell>
          <cell r="G127">
            <v>0</v>
          </cell>
          <cell r="H127">
            <v>124</v>
          </cell>
          <cell r="I127">
            <v>134</v>
          </cell>
        </row>
        <row r="128">
          <cell r="D128">
            <v>2352</v>
          </cell>
          <cell r="E128" t="str">
            <v>Westways Primary School</v>
          </cell>
          <cell r="F128" t="str">
            <v>Primary</v>
          </cell>
          <cell r="G128">
            <v>0</v>
          </cell>
          <cell r="H128">
            <v>572</v>
          </cell>
          <cell r="I128">
            <v>580</v>
          </cell>
        </row>
        <row r="129">
          <cell r="D129">
            <v>2311</v>
          </cell>
          <cell r="E129" t="str">
            <v>Wharncliffe Side Primary School</v>
          </cell>
          <cell r="F129" t="str">
            <v>Primary</v>
          </cell>
          <cell r="G129" t="str">
            <v>Recoupment Academy</v>
          </cell>
          <cell r="H129">
            <v>141</v>
          </cell>
          <cell r="I129">
            <v>142</v>
          </cell>
        </row>
        <row r="130">
          <cell r="D130">
            <v>2040</v>
          </cell>
          <cell r="E130" t="str">
            <v>Whiteways Primary School</v>
          </cell>
          <cell r="F130" t="str">
            <v>Primary</v>
          </cell>
          <cell r="G130" t="str">
            <v>Recoupment Academy</v>
          </cell>
          <cell r="H130">
            <v>408</v>
          </cell>
          <cell r="I130">
            <v>406</v>
          </cell>
        </row>
        <row r="131">
          <cell r="D131">
            <v>2027</v>
          </cell>
          <cell r="E131" t="str">
            <v>Wincobank Nursery and Infant School</v>
          </cell>
          <cell r="F131" t="str">
            <v>Primary</v>
          </cell>
          <cell r="G131" t="str">
            <v>Recoupment Academy</v>
          </cell>
          <cell r="H131">
            <v>122</v>
          </cell>
          <cell r="I131">
            <v>137</v>
          </cell>
        </row>
        <row r="132">
          <cell r="D132">
            <v>2361</v>
          </cell>
          <cell r="E132" t="str">
            <v>Windmill Hill Primary School</v>
          </cell>
          <cell r="F132" t="str">
            <v>Primary</v>
          </cell>
          <cell r="G132" t="str">
            <v>Recoupment Academy</v>
          </cell>
          <cell r="H132">
            <v>317</v>
          </cell>
          <cell r="I132">
            <v>315</v>
          </cell>
        </row>
        <row r="133">
          <cell r="D133">
            <v>2043</v>
          </cell>
          <cell r="E133" t="str">
            <v>Wisewood Community Primary School</v>
          </cell>
          <cell r="F133" t="str">
            <v>Primary</v>
          </cell>
          <cell r="G133" t="str">
            <v>Recoupment Academy</v>
          </cell>
          <cell r="H133">
            <v>153</v>
          </cell>
          <cell r="I133">
            <v>156</v>
          </cell>
        </row>
        <row r="134">
          <cell r="D134">
            <v>2139</v>
          </cell>
          <cell r="E134" t="str">
            <v>Woodhouse West Primary School</v>
          </cell>
          <cell r="F134" t="str">
            <v>Primary</v>
          </cell>
          <cell r="G134" t="str">
            <v>Recoupment Academy</v>
          </cell>
          <cell r="H134">
            <v>343</v>
          </cell>
          <cell r="I134">
            <v>360</v>
          </cell>
        </row>
        <row r="135">
          <cell r="D135">
            <v>2034</v>
          </cell>
          <cell r="E135" t="str">
            <v>Woodlands Primary School</v>
          </cell>
          <cell r="F135" t="str">
            <v>Primary</v>
          </cell>
          <cell r="G135" t="str">
            <v>Recoupment Academy</v>
          </cell>
          <cell r="H135">
            <v>354</v>
          </cell>
          <cell r="I135">
            <v>395</v>
          </cell>
        </row>
        <row r="136">
          <cell r="D136">
            <v>2324</v>
          </cell>
          <cell r="E136" t="str">
            <v>Woodseats Primary School</v>
          </cell>
          <cell r="F136" t="str">
            <v>Primary</v>
          </cell>
          <cell r="G136" t="str">
            <v>Recoupment Academy</v>
          </cell>
          <cell r="H136">
            <v>375</v>
          </cell>
          <cell r="I136">
            <v>363</v>
          </cell>
        </row>
        <row r="137">
          <cell r="D137">
            <v>2327</v>
          </cell>
          <cell r="E137" t="str">
            <v>Woodthorpe Primary School</v>
          </cell>
          <cell r="F137" t="str">
            <v>Primary</v>
          </cell>
          <cell r="G137" t="str">
            <v>Recoupment Academy</v>
          </cell>
          <cell r="H137">
            <v>396</v>
          </cell>
          <cell r="I137">
            <v>406</v>
          </cell>
        </row>
        <row r="138">
          <cell r="D138">
            <v>2321</v>
          </cell>
          <cell r="E138" t="str">
            <v>Wybourn Community Primary &amp; Nursery School</v>
          </cell>
          <cell r="F138" t="str">
            <v>Primary</v>
          </cell>
          <cell r="G138" t="str">
            <v>Recoupment Academy</v>
          </cell>
          <cell r="H138">
            <v>413</v>
          </cell>
          <cell r="I138">
            <v>424</v>
          </cell>
        </row>
        <row r="140">
          <cell r="E140" t="str">
            <v>Total Primary</v>
          </cell>
          <cell r="H140">
            <v>43067</v>
          </cell>
          <cell r="I140">
            <v>43411</v>
          </cell>
        </row>
        <row r="142">
          <cell r="E142" t="str">
            <v>Secondary</v>
          </cell>
        </row>
        <row r="144">
          <cell r="D144">
            <v>5401</v>
          </cell>
          <cell r="E144" t="str">
            <v>All Saints' Catholic High School</v>
          </cell>
          <cell r="F144" t="str">
            <v>Secondary</v>
          </cell>
          <cell r="G144" t="str">
            <v>Recoupment Academy</v>
          </cell>
          <cell r="H144">
            <v>1023</v>
          </cell>
          <cell r="I144">
            <v>1034</v>
          </cell>
        </row>
        <row r="145">
          <cell r="D145">
            <v>4017</v>
          </cell>
          <cell r="E145" t="str">
            <v>Bradfield School</v>
          </cell>
          <cell r="F145" t="str">
            <v>Secondary</v>
          </cell>
          <cell r="G145" t="str">
            <v>Recoupment Academy</v>
          </cell>
          <cell r="H145">
            <v>1081</v>
          </cell>
          <cell r="I145">
            <v>1065</v>
          </cell>
        </row>
        <row r="146">
          <cell r="D146">
            <v>4000</v>
          </cell>
          <cell r="E146" t="str">
            <v>Chaucer School</v>
          </cell>
          <cell r="F146" t="str">
            <v>Secondary</v>
          </cell>
          <cell r="G146" t="str">
            <v>Recoupment Academy</v>
          </cell>
          <cell r="H146">
            <v>820</v>
          </cell>
          <cell r="I146">
            <v>842</v>
          </cell>
        </row>
        <row r="147">
          <cell r="D147">
            <v>4012</v>
          </cell>
          <cell r="E147" t="str">
            <v>Ecclesfield School</v>
          </cell>
          <cell r="F147" t="str">
            <v>Secondary</v>
          </cell>
          <cell r="G147" t="str">
            <v>Recoupment Academy</v>
          </cell>
          <cell r="H147">
            <v>1676</v>
          </cell>
          <cell r="I147">
            <v>1701</v>
          </cell>
        </row>
        <row r="148">
          <cell r="D148">
            <v>4280</v>
          </cell>
          <cell r="E148" t="str">
            <v>Fir Vale School</v>
          </cell>
          <cell r="F148" t="str">
            <v>Secondary</v>
          </cell>
          <cell r="G148" t="str">
            <v>Recoupment Academy</v>
          </cell>
          <cell r="H148">
            <v>986</v>
          </cell>
          <cell r="I148">
            <v>1025</v>
          </cell>
        </row>
        <row r="149">
          <cell r="D149">
            <v>4003</v>
          </cell>
          <cell r="E149" t="str">
            <v>Firth Park Academy</v>
          </cell>
          <cell r="F149" t="str">
            <v>Secondary</v>
          </cell>
          <cell r="G149" t="str">
            <v>Recoupment Academy</v>
          </cell>
          <cell r="H149">
            <v>1142</v>
          </cell>
          <cell r="I149">
            <v>1166</v>
          </cell>
        </row>
        <row r="150">
          <cell r="D150">
            <v>4007</v>
          </cell>
          <cell r="E150" t="str">
            <v>Forge Valley School</v>
          </cell>
          <cell r="F150" t="str">
            <v>Secondary</v>
          </cell>
          <cell r="G150" t="str">
            <v>Recoupment Academy</v>
          </cell>
          <cell r="H150">
            <v>1210</v>
          </cell>
          <cell r="I150">
            <v>1243</v>
          </cell>
        </row>
        <row r="151">
          <cell r="D151">
            <v>4278</v>
          </cell>
          <cell r="E151" t="str">
            <v>Handsworth Grange Community Sports College</v>
          </cell>
          <cell r="F151" t="str">
            <v>Secondary</v>
          </cell>
          <cell r="G151" t="str">
            <v>Recoupment Academy</v>
          </cell>
          <cell r="H151">
            <v>1015</v>
          </cell>
          <cell r="I151">
            <v>1015</v>
          </cell>
        </row>
        <row r="152">
          <cell r="D152">
            <v>4257</v>
          </cell>
          <cell r="E152" t="str">
            <v>High Storrs School</v>
          </cell>
          <cell r="F152" t="str">
            <v>Secondary</v>
          </cell>
          <cell r="G152" t="str">
            <v>Recoupment Academy</v>
          </cell>
          <cell r="H152">
            <v>1206</v>
          </cell>
          <cell r="I152">
            <v>1214</v>
          </cell>
        </row>
        <row r="153">
          <cell r="D153">
            <v>4230</v>
          </cell>
          <cell r="E153" t="str">
            <v>King Ecgbert School</v>
          </cell>
          <cell r="F153" t="str">
            <v>Secondary</v>
          </cell>
          <cell r="G153" t="str">
            <v>Recoupment Academy</v>
          </cell>
          <cell r="H153">
            <v>1034</v>
          </cell>
          <cell r="I153">
            <v>1030</v>
          </cell>
        </row>
        <row r="154">
          <cell r="D154">
            <v>4259</v>
          </cell>
          <cell r="E154" t="str">
            <v>King Edward VII School</v>
          </cell>
          <cell r="F154" t="str">
            <v>Secondary</v>
          </cell>
          <cell r="G154">
            <v>0</v>
          </cell>
          <cell r="H154">
            <v>1135</v>
          </cell>
          <cell r="I154">
            <v>1141</v>
          </cell>
        </row>
        <row r="155">
          <cell r="D155">
            <v>4279</v>
          </cell>
          <cell r="E155" t="str">
            <v>Meadowhead School Academy Trust</v>
          </cell>
          <cell r="F155" t="str">
            <v>Secondary</v>
          </cell>
          <cell r="G155" t="str">
            <v>Recoupment Academy</v>
          </cell>
          <cell r="H155">
            <v>1623</v>
          </cell>
          <cell r="I155">
            <v>1640</v>
          </cell>
        </row>
        <row r="156">
          <cell r="D156">
            <v>4015</v>
          </cell>
          <cell r="E156" t="str">
            <v>Mercia School</v>
          </cell>
          <cell r="F156" t="str">
            <v>Secondary</v>
          </cell>
          <cell r="G156" t="str">
            <v>Recoupment Academy</v>
          </cell>
          <cell r="H156">
            <v>716</v>
          </cell>
          <cell r="I156">
            <v>786</v>
          </cell>
        </row>
        <row r="157">
          <cell r="D157">
            <v>4008</v>
          </cell>
          <cell r="E157" t="str">
            <v>Newfield Secondary School</v>
          </cell>
          <cell r="F157" t="str">
            <v>Secondary</v>
          </cell>
          <cell r="G157" t="str">
            <v>Recoupment Academy</v>
          </cell>
          <cell r="H157">
            <v>1032</v>
          </cell>
          <cell r="I157">
            <v>1055</v>
          </cell>
        </row>
        <row r="158">
          <cell r="D158">
            <v>5400</v>
          </cell>
          <cell r="E158" t="str">
            <v>Notre Dame High School</v>
          </cell>
          <cell r="F158" t="str">
            <v>Secondary</v>
          </cell>
          <cell r="G158" t="str">
            <v>Recoupment Academy</v>
          </cell>
          <cell r="H158">
            <v>1066</v>
          </cell>
          <cell r="I158">
            <v>1067</v>
          </cell>
        </row>
        <row r="159">
          <cell r="D159">
            <v>4006</v>
          </cell>
          <cell r="E159" t="str">
            <v>Outwood Academy City</v>
          </cell>
          <cell r="F159" t="str">
            <v>Secondary</v>
          </cell>
          <cell r="G159" t="str">
            <v>Recoupment Academy</v>
          </cell>
          <cell r="H159">
            <v>1128</v>
          </cell>
          <cell r="I159">
            <v>1126</v>
          </cell>
        </row>
        <row r="160">
          <cell r="D160">
            <v>6907</v>
          </cell>
          <cell r="E160" t="str">
            <v>Parkwood E-ACT Academy</v>
          </cell>
          <cell r="F160" t="str">
            <v>Secondary</v>
          </cell>
          <cell r="G160" t="str">
            <v>Recoupment Academy</v>
          </cell>
          <cell r="H160">
            <v>806</v>
          </cell>
          <cell r="I160">
            <v>793</v>
          </cell>
        </row>
        <row r="161">
          <cell r="D161">
            <v>6905</v>
          </cell>
          <cell r="E161" t="str">
            <v>Sheffield Park Academy</v>
          </cell>
          <cell r="F161" t="str">
            <v>Secondary</v>
          </cell>
          <cell r="G161" t="str">
            <v>Recoupment Academy</v>
          </cell>
          <cell r="H161">
            <v>1010</v>
          </cell>
          <cell r="I161">
            <v>1029</v>
          </cell>
        </row>
        <row r="162">
          <cell r="D162">
            <v>6906</v>
          </cell>
          <cell r="E162" t="str">
            <v>Sheffield Springs Academy</v>
          </cell>
          <cell r="F162" t="str">
            <v>Secondary</v>
          </cell>
          <cell r="G162" t="str">
            <v>Recoupment Academy</v>
          </cell>
          <cell r="H162">
            <v>939</v>
          </cell>
          <cell r="I162">
            <v>981</v>
          </cell>
        </row>
        <row r="163">
          <cell r="D163">
            <v>4229</v>
          </cell>
          <cell r="E163" t="str">
            <v>Silverdale School</v>
          </cell>
          <cell r="F163" t="str">
            <v>Secondary</v>
          </cell>
          <cell r="G163" t="str">
            <v>Recoupment Academy</v>
          </cell>
          <cell r="H163">
            <v>1015</v>
          </cell>
          <cell r="I163">
            <v>1021</v>
          </cell>
        </row>
        <row r="164">
          <cell r="D164">
            <v>4271</v>
          </cell>
          <cell r="E164" t="str">
            <v>Stocksbridge High School</v>
          </cell>
          <cell r="F164" t="str">
            <v>Secondary</v>
          </cell>
          <cell r="G164" t="str">
            <v>Recoupment Academy</v>
          </cell>
          <cell r="H164">
            <v>798</v>
          </cell>
          <cell r="I164">
            <v>793</v>
          </cell>
        </row>
        <row r="165">
          <cell r="D165">
            <v>4234</v>
          </cell>
          <cell r="E165" t="str">
            <v>Tapton School</v>
          </cell>
          <cell r="F165" t="str">
            <v>Secondary</v>
          </cell>
          <cell r="G165" t="str">
            <v>Recoupment Academy</v>
          </cell>
          <cell r="H165">
            <v>1354</v>
          </cell>
          <cell r="I165">
            <v>1357</v>
          </cell>
        </row>
        <row r="166">
          <cell r="D166">
            <v>4276</v>
          </cell>
          <cell r="E166" t="str">
            <v>The Birley Academy</v>
          </cell>
          <cell r="F166" t="str">
            <v>Secondary</v>
          </cell>
          <cell r="G166" t="str">
            <v>Recoupment Academy</v>
          </cell>
          <cell r="H166">
            <v>1074</v>
          </cell>
          <cell r="I166">
            <v>1076</v>
          </cell>
        </row>
        <row r="167">
          <cell r="D167">
            <v>4004</v>
          </cell>
          <cell r="E167" t="str">
            <v>UTC Sheffield City Centre</v>
          </cell>
          <cell r="F167" t="str">
            <v>Secondary</v>
          </cell>
          <cell r="G167" t="str">
            <v>Recoupment Academy</v>
          </cell>
          <cell r="H167">
            <v>313</v>
          </cell>
          <cell r="I167">
            <v>312</v>
          </cell>
        </row>
        <row r="168">
          <cell r="D168">
            <v>4010</v>
          </cell>
          <cell r="E168" t="str">
            <v>UTC Sheffield Olympic Legacy Park</v>
          </cell>
          <cell r="F168" t="str">
            <v>Secondary</v>
          </cell>
          <cell r="G168" t="str">
            <v>Recoupment Academy</v>
          </cell>
          <cell r="H168">
            <v>302</v>
          </cell>
          <cell r="I168">
            <v>301</v>
          </cell>
        </row>
        <row r="169">
          <cell r="D169">
            <v>4013</v>
          </cell>
          <cell r="E169" t="str">
            <v>Westfield School</v>
          </cell>
          <cell r="F169" t="str">
            <v>Secondary</v>
          </cell>
          <cell r="G169" t="str">
            <v>Recoupment Academy</v>
          </cell>
          <cell r="H169">
            <v>1191</v>
          </cell>
          <cell r="I169">
            <v>1245</v>
          </cell>
        </row>
        <row r="170">
          <cell r="D170">
            <v>4016</v>
          </cell>
          <cell r="E170" t="str">
            <v>Yewlands Academy</v>
          </cell>
          <cell r="F170" t="str">
            <v>Secondary</v>
          </cell>
          <cell r="G170" t="str">
            <v>Recoupment Academy</v>
          </cell>
          <cell r="H170">
            <v>876</v>
          </cell>
          <cell r="I170">
            <v>901</v>
          </cell>
        </row>
        <row r="172">
          <cell r="E172" t="str">
            <v>Total Secondary</v>
          </cell>
          <cell r="H172">
            <v>27571</v>
          </cell>
          <cell r="I172">
            <v>27959</v>
          </cell>
        </row>
        <row r="174">
          <cell r="E174" t="str">
            <v>Middle Deemed Secondary</v>
          </cell>
        </row>
        <row r="176">
          <cell r="D176">
            <v>4014</v>
          </cell>
          <cell r="E176" t="str">
            <v>Astrea Academy Sheffield</v>
          </cell>
          <cell r="F176" t="str">
            <v>All-through</v>
          </cell>
          <cell r="G176" t="str">
            <v>Recoupment Academy</v>
          </cell>
          <cell r="H176">
            <v>891.5</v>
          </cell>
          <cell r="I176">
            <v>979</v>
          </cell>
        </row>
        <row r="177">
          <cell r="D177">
            <v>4225</v>
          </cell>
          <cell r="E177" t="str">
            <v>Hinde House 2-16 School</v>
          </cell>
          <cell r="F177" t="str">
            <v>All-through</v>
          </cell>
          <cell r="G177" t="str">
            <v>Recoupment Academy</v>
          </cell>
          <cell r="H177">
            <v>1282</v>
          </cell>
          <cell r="I177">
            <v>1322</v>
          </cell>
        </row>
        <row r="178">
          <cell r="D178">
            <v>4005</v>
          </cell>
          <cell r="E178" t="str">
            <v>Oasis Academy Don Valley</v>
          </cell>
          <cell r="F178" t="str">
            <v>All-through</v>
          </cell>
          <cell r="G178" t="str">
            <v>Recoupment Academy</v>
          </cell>
          <cell r="H178">
            <v>997.75</v>
          </cell>
          <cell r="I178">
            <v>1061</v>
          </cell>
        </row>
        <row r="180">
          <cell r="E180" t="str">
            <v>Total Middle Deemed Secondary</v>
          </cell>
          <cell r="H180">
            <v>3171.25</v>
          </cell>
          <cell r="I180">
            <v>3362</v>
          </cell>
        </row>
        <row r="182">
          <cell r="E182" t="str">
            <v>Total All Schools</v>
          </cell>
          <cell r="H182">
            <v>73809.25</v>
          </cell>
          <cell r="I182">
            <v>74732</v>
          </cell>
        </row>
        <row r="183">
          <cell r="I183">
            <v>922.75</v>
          </cell>
        </row>
        <row r="185">
          <cell r="D185">
            <v>4014</v>
          </cell>
          <cell r="E185" t="str">
            <v>Astrea 3-16 Academy - Woodside Pye Bank</v>
          </cell>
          <cell r="F185" t="str">
            <v>Primary</v>
          </cell>
          <cell r="G185" t="str">
            <v>Recoupment Academy</v>
          </cell>
          <cell r="H185">
            <v>196</v>
          </cell>
          <cell r="I185">
            <v>243</v>
          </cell>
        </row>
        <row r="186">
          <cell r="D186">
            <v>4014</v>
          </cell>
          <cell r="E186" t="str">
            <v>Astrea 3-16 Academy - Woodside Pye Bank</v>
          </cell>
          <cell r="F186" t="str">
            <v>Secondary</v>
          </cell>
          <cell r="G186" t="str">
            <v>Recoupment Academy</v>
          </cell>
          <cell r="H186">
            <v>695.5</v>
          </cell>
          <cell r="I186">
            <v>736</v>
          </cell>
        </row>
        <row r="187">
          <cell r="H187">
            <v>891.5</v>
          </cell>
          <cell r="I187">
            <v>979</v>
          </cell>
        </row>
        <row r="188">
          <cell r="H188">
            <v>0</v>
          </cell>
        </row>
        <row r="189">
          <cell r="D189">
            <v>4225</v>
          </cell>
          <cell r="E189" t="str">
            <v>Hinde House (Brigantia) School - Pri Phase</v>
          </cell>
          <cell r="F189" t="str">
            <v>Primary</v>
          </cell>
          <cell r="G189" t="str">
            <v>Recoupment Academy</v>
          </cell>
          <cell r="H189">
            <v>427</v>
          </cell>
          <cell r="I189">
            <v>419</v>
          </cell>
        </row>
        <row r="190">
          <cell r="D190">
            <v>4225</v>
          </cell>
          <cell r="E190" t="str">
            <v>Hinde House (Brigantia) School - Sec Phase</v>
          </cell>
          <cell r="F190" t="str">
            <v>Secondary</v>
          </cell>
          <cell r="G190" t="str">
            <v>Recoupment Academy</v>
          </cell>
          <cell r="H190">
            <v>855</v>
          </cell>
          <cell r="I190">
            <v>903</v>
          </cell>
        </row>
        <row r="191">
          <cell r="H191">
            <v>1282</v>
          </cell>
          <cell r="I191">
            <v>1322</v>
          </cell>
        </row>
        <row r="192">
          <cell r="H192">
            <v>0</v>
          </cell>
        </row>
        <row r="193">
          <cell r="D193">
            <v>4005</v>
          </cell>
          <cell r="E193" t="str">
            <v>Oasis Academy Don Valley</v>
          </cell>
          <cell r="F193" t="str">
            <v>Primary</v>
          </cell>
          <cell r="G193" t="str">
            <v>Recoupment Academy</v>
          </cell>
          <cell r="H193">
            <v>418.25</v>
          </cell>
          <cell r="I193">
            <v>414</v>
          </cell>
        </row>
        <row r="194">
          <cell r="D194">
            <v>4005</v>
          </cell>
          <cell r="E194" t="str">
            <v>Oasis Academy Don Valley</v>
          </cell>
          <cell r="F194" t="str">
            <v>Secondary</v>
          </cell>
          <cell r="G194" t="str">
            <v>Recoupment Academy</v>
          </cell>
          <cell r="H194">
            <v>579.5</v>
          </cell>
          <cell r="I194">
            <v>647</v>
          </cell>
        </row>
        <row r="195">
          <cell r="H195">
            <v>997.75</v>
          </cell>
          <cell r="I195">
            <v>1061</v>
          </cell>
        </row>
        <row r="197">
          <cell r="E197" t="str">
            <v>Row Labels</v>
          </cell>
          <cell r="F197" t="str">
            <v>Sum of NOR 23-24</v>
          </cell>
        </row>
        <row r="198">
          <cell r="E198">
            <v>0</v>
          </cell>
          <cell r="F198">
            <v>21209</v>
          </cell>
          <cell r="I198" t="str">
            <v>Funded Pupils FTE</v>
          </cell>
        </row>
        <row r="199">
          <cell r="E199" t="str">
            <v>Primary</v>
          </cell>
          <cell r="F199">
            <v>20068</v>
          </cell>
          <cell r="H199" t="str">
            <v>NOR APT</v>
          </cell>
        </row>
        <row r="200">
          <cell r="E200" t="str">
            <v>Secondary</v>
          </cell>
          <cell r="F200">
            <v>1141</v>
          </cell>
        </row>
        <row r="201">
          <cell r="E201" t="str">
            <v>Recoupment Academy</v>
          </cell>
          <cell r="F201">
            <v>53523</v>
          </cell>
        </row>
        <row r="202">
          <cell r="E202" t="str">
            <v>Primary</v>
          </cell>
          <cell r="F202">
            <v>24419</v>
          </cell>
          <cell r="H202" t="str">
            <v>Plus Oasis FYE</v>
          </cell>
        </row>
        <row r="203">
          <cell r="E203" t="str">
            <v>Secondary</v>
          </cell>
          <cell r="F203">
            <v>29104</v>
          </cell>
        </row>
        <row r="204">
          <cell r="E204" t="str">
            <v>Grand Total</v>
          </cell>
          <cell r="F204">
            <v>74732</v>
          </cell>
          <cell r="I204">
            <v>0</v>
          </cell>
        </row>
        <row r="205">
          <cell r="I205">
            <v>74732</v>
          </cell>
        </row>
        <row r="206">
          <cell r="F206">
            <v>74732</v>
          </cell>
        </row>
        <row r="207">
          <cell r="F207">
            <v>0</v>
          </cell>
        </row>
        <row r="208">
          <cell r="F208" t="str">
            <v>23-24</v>
          </cell>
          <cell r="G208" t="str">
            <v>22-23</v>
          </cell>
        </row>
        <row r="209">
          <cell r="E209" t="str">
            <v>Primary</v>
          </cell>
          <cell r="F209">
            <v>44487</v>
          </cell>
          <cell r="G209">
            <v>44108.25</v>
          </cell>
        </row>
        <row r="210">
          <cell r="E210" t="str">
            <v>Secondary</v>
          </cell>
          <cell r="F210">
            <v>30245</v>
          </cell>
          <cell r="G210">
            <v>29701</v>
          </cell>
        </row>
        <row r="211">
          <cell r="E211" t="str">
            <v>Total</v>
          </cell>
          <cell r="F211">
            <v>74732</v>
          </cell>
          <cell r="G211">
            <v>73809.25</v>
          </cell>
        </row>
      </sheetData>
      <sheetData sheetId="10"/>
      <sheetData sheetId="11"/>
      <sheetData sheetId="12"/>
      <sheetData sheetId="13"/>
      <sheetData sheetId="14"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</row>
        <row r="5">
          <cell r="G5">
            <v>101.80999999999997</v>
          </cell>
          <cell r="H5">
            <v>31.689999999999998</v>
          </cell>
        </row>
        <row r="6">
          <cell r="C6" t="str">
            <v>DfE</v>
          </cell>
          <cell r="D6" t="str">
            <v>School_Name</v>
          </cell>
          <cell r="E6" t="str">
            <v xml:space="preserve">Academy Type </v>
          </cell>
          <cell r="F6" t="str">
            <v>Pupil Number Oct 22</v>
          </cell>
          <cell r="G6" t="str">
            <v>Additional Delegation £</v>
          </cell>
          <cell r="H6" t="str">
            <v>De-delegated £</v>
          </cell>
        </row>
        <row r="7">
          <cell r="F7">
            <v>3</v>
          </cell>
          <cell r="G7">
            <v>4</v>
          </cell>
          <cell r="H7">
            <v>5</v>
          </cell>
        </row>
        <row r="8">
          <cell r="C8">
            <v>2001</v>
          </cell>
          <cell r="D8" t="str">
            <v>Abbey Lane Primary School</v>
          </cell>
          <cell r="E8">
            <v>0</v>
          </cell>
          <cell r="F8">
            <v>546</v>
          </cell>
          <cell r="G8">
            <v>55588.259999999987</v>
          </cell>
          <cell r="H8">
            <v>17302.739999999998</v>
          </cell>
        </row>
        <row r="9">
          <cell r="C9">
            <v>2046</v>
          </cell>
          <cell r="D9" t="str">
            <v>Abbeyfield Primary Academy</v>
          </cell>
          <cell r="E9" t="str">
            <v>Recoupment Academy</v>
          </cell>
          <cell r="F9">
            <v>372</v>
          </cell>
          <cell r="G9">
            <v>37873.319999999992</v>
          </cell>
          <cell r="H9">
            <v>11788.679999999998</v>
          </cell>
        </row>
        <row r="10">
          <cell r="C10">
            <v>2048</v>
          </cell>
          <cell r="D10" t="str">
            <v>Acres Hill Community Primary School</v>
          </cell>
          <cell r="E10" t="str">
            <v>Recoupment Academy</v>
          </cell>
          <cell r="F10">
            <v>205</v>
          </cell>
          <cell r="G10">
            <v>20871.049999999996</v>
          </cell>
          <cell r="H10">
            <v>6496.45</v>
          </cell>
        </row>
        <row r="11">
          <cell r="C11">
            <v>2342</v>
          </cell>
          <cell r="D11" t="str">
            <v>Angram Bank Primary School</v>
          </cell>
          <cell r="E11">
            <v>0</v>
          </cell>
          <cell r="F11">
            <v>184</v>
          </cell>
          <cell r="G11">
            <v>18733.039999999994</v>
          </cell>
          <cell r="H11">
            <v>5830.9599999999991</v>
          </cell>
        </row>
        <row r="12">
          <cell r="C12">
            <v>2343</v>
          </cell>
          <cell r="D12" t="str">
            <v>Anns Grove Primary School</v>
          </cell>
          <cell r="E12">
            <v>0</v>
          </cell>
          <cell r="F12">
            <v>334</v>
          </cell>
          <cell r="G12">
            <v>34004.539999999994</v>
          </cell>
          <cell r="H12">
            <v>10584.46</v>
          </cell>
        </row>
        <row r="13">
          <cell r="C13">
            <v>3429</v>
          </cell>
          <cell r="D13" t="str">
            <v>Arbourthorne Community Primary School</v>
          </cell>
          <cell r="E13">
            <v>0</v>
          </cell>
          <cell r="F13">
            <v>420</v>
          </cell>
          <cell r="G13">
            <v>42760.19999999999</v>
          </cell>
          <cell r="H13">
            <v>13309.8</v>
          </cell>
        </row>
        <row r="14">
          <cell r="C14">
            <v>2340</v>
          </cell>
          <cell r="D14" t="str">
            <v>Athelstan Primary School</v>
          </cell>
          <cell r="E14">
            <v>0</v>
          </cell>
          <cell r="F14">
            <v>614</v>
          </cell>
          <cell r="G14">
            <v>62511.339999999982</v>
          </cell>
          <cell r="H14">
            <v>19457.66</v>
          </cell>
        </row>
        <row r="15">
          <cell r="C15">
            <v>2281</v>
          </cell>
          <cell r="D15" t="str">
            <v>Ballifield Primary School</v>
          </cell>
          <cell r="E15">
            <v>0</v>
          </cell>
          <cell r="F15">
            <v>415</v>
          </cell>
          <cell r="G15">
            <v>42251.149999999987</v>
          </cell>
          <cell r="H15">
            <v>13151.349999999999</v>
          </cell>
        </row>
        <row r="16">
          <cell r="C16">
            <v>2322</v>
          </cell>
          <cell r="D16" t="str">
            <v>Bankwood Community Primary School</v>
          </cell>
          <cell r="E16">
            <v>0</v>
          </cell>
          <cell r="F16">
            <v>384</v>
          </cell>
          <cell r="G16">
            <v>39095.039999999994</v>
          </cell>
          <cell r="H16">
            <v>12168.96</v>
          </cell>
        </row>
        <row r="17">
          <cell r="C17">
            <v>2274</v>
          </cell>
          <cell r="D17" t="str">
            <v>Beck Primary School</v>
          </cell>
          <cell r="E17" t="str">
            <v>Recoupment Academy</v>
          </cell>
          <cell r="F17">
            <v>615</v>
          </cell>
          <cell r="G17">
            <v>62613.149999999987</v>
          </cell>
          <cell r="H17">
            <v>19489.349999999999</v>
          </cell>
        </row>
        <row r="18">
          <cell r="C18">
            <v>2241</v>
          </cell>
          <cell r="D18" t="str">
            <v>Beighton Nursery Infant School</v>
          </cell>
          <cell r="E18">
            <v>0</v>
          </cell>
          <cell r="F18">
            <v>242</v>
          </cell>
          <cell r="G18">
            <v>24638.019999999993</v>
          </cell>
          <cell r="H18">
            <v>7668.98</v>
          </cell>
        </row>
        <row r="19">
          <cell r="C19">
            <v>2353</v>
          </cell>
          <cell r="D19" t="str">
            <v>Birley Primary Academy</v>
          </cell>
          <cell r="E19" t="str">
            <v>Recoupment Academy</v>
          </cell>
          <cell r="F19">
            <v>528</v>
          </cell>
          <cell r="G19">
            <v>53755.679999999986</v>
          </cell>
          <cell r="H19">
            <v>16732.32</v>
          </cell>
        </row>
        <row r="20">
          <cell r="C20">
            <v>2323</v>
          </cell>
          <cell r="D20" t="str">
            <v>Birley Spa Primary Academy</v>
          </cell>
          <cell r="E20" t="str">
            <v>Recoupment Academy</v>
          </cell>
          <cell r="F20">
            <v>337</v>
          </cell>
          <cell r="G20">
            <v>34309.969999999994</v>
          </cell>
          <cell r="H20">
            <v>10679.529999999999</v>
          </cell>
        </row>
        <row r="21">
          <cell r="C21">
            <v>2328</v>
          </cell>
          <cell r="D21" t="str">
            <v>Bradfield Dungworth Primary School</v>
          </cell>
          <cell r="E21" t="str">
            <v>Recoupment Academy</v>
          </cell>
          <cell r="F21">
            <v>137</v>
          </cell>
          <cell r="G21">
            <v>13947.969999999996</v>
          </cell>
          <cell r="H21">
            <v>4341.53</v>
          </cell>
        </row>
        <row r="22">
          <cell r="C22">
            <v>2233</v>
          </cell>
          <cell r="D22" t="str">
            <v>Bradway Primary School</v>
          </cell>
          <cell r="E22">
            <v>0</v>
          </cell>
          <cell r="F22">
            <v>414</v>
          </cell>
          <cell r="G22">
            <v>42149.339999999989</v>
          </cell>
          <cell r="H22">
            <v>13119.66</v>
          </cell>
        </row>
        <row r="23">
          <cell r="C23">
            <v>2014</v>
          </cell>
          <cell r="D23" t="str">
            <v>Brightside Nursery and Infant School</v>
          </cell>
          <cell r="E23">
            <v>0</v>
          </cell>
          <cell r="F23">
            <v>173</v>
          </cell>
          <cell r="G23">
            <v>17613.129999999994</v>
          </cell>
          <cell r="H23">
            <v>5482.37</v>
          </cell>
        </row>
        <row r="24">
          <cell r="C24">
            <v>2246</v>
          </cell>
          <cell r="D24" t="str">
            <v>Brook House Junior</v>
          </cell>
          <cell r="E24" t="str">
            <v>Recoupment Academy</v>
          </cell>
          <cell r="F24">
            <v>340</v>
          </cell>
          <cell r="G24">
            <v>34615.399999999994</v>
          </cell>
          <cell r="H24">
            <v>10774.599999999999</v>
          </cell>
        </row>
        <row r="25">
          <cell r="C25">
            <v>5204</v>
          </cell>
          <cell r="D25" t="str">
            <v>Broomhill Infant School</v>
          </cell>
          <cell r="E25">
            <v>0</v>
          </cell>
          <cell r="F25">
            <v>119</v>
          </cell>
          <cell r="G25">
            <v>12115.389999999998</v>
          </cell>
          <cell r="H25">
            <v>3771.1099999999997</v>
          </cell>
        </row>
        <row r="26">
          <cell r="C26">
            <v>2325</v>
          </cell>
          <cell r="D26" t="str">
            <v>Brunswick Community Primary School</v>
          </cell>
          <cell r="E26">
            <v>0</v>
          </cell>
          <cell r="F26">
            <v>417</v>
          </cell>
          <cell r="G26">
            <v>42454.76999999999</v>
          </cell>
          <cell r="H26">
            <v>13214.73</v>
          </cell>
        </row>
        <row r="27">
          <cell r="C27">
            <v>2095</v>
          </cell>
          <cell r="D27" t="str">
            <v>Byron Wood Primary Academy</v>
          </cell>
          <cell r="E27" t="str">
            <v>Recoupment Academy</v>
          </cell>
          <cell r="F27">
            <v>395</v>
          </cell>
          <cell r="G27">
            <v>40214.94999999999</v>
          </cell>
          <cell r="H27">
            <v>12517.55</v>
          </cell>
        </row>
        <row r="28">
          <cell r="C28">
            <v>2344</v>
          </cell>
          <cell r="D28" t="str">
            <v>Carfield Primary School</v>
          </cell>
          <cell r="E28">
            <v>0</v>
          </cell>
          <cell r="F28">
            <v>570</v>
          </cell>
          <cell r="G28">
            <v>58031.699999999983</v>
          </cell>
          <cell r="H28">
            <v>18063.3</v>
          </cell>
        </row>
        <row r="29">
          <cell r="C29">
            <v>2023</v>
          </cell>
          <cell r="D29" t="str">
            <v>Carter Knowle Junior School</v>
          </cell>
          <cell r="E29">
            <v>0</v>
          </cell>
          <cell r="F29">
            <v>236</v>
          </cell>
          <cell r="G29">
            <v>24027.159999999993</v>
          </cell>
          <cell r="H29">
            <v>7478.8399999999992</v>
          </cell>
        </row>
        <row r="30">
          <cell r="C30">
            <v>2354</v>
          </cell>
          <cell r="D30" t="str">
            <v>Charnock Hall Primary Academy</v>
          </cell>
          <cell r="E30" t="str">
            <v>Recoupment Academy</v>
          </cell>
          <cell r="F30">
            <v>407</v>
          </cell>
          <cell r="G30">
            <v>41436.669999999991</v>
          </cell>
          <cell r="H30">
            <v>12897.83</v>
          </cell>
        </row>
        <row r="31">
          <cell r="C31">
            <v>5200</v>
          </cell>
          <cell r="D31" t="str">
            <v>Clifford All Saints CofE Primary School</v>
          </cell>
          <cell r="E31">
            <v>0</v>
          </cell>
          <cell r="F31">
            <v>184</v>
          </cell>
          <cell r="G31">
            <v>18733.039999999994</v>
          </cell>
          <cell r="H31">
            <v>5830.9599999999991</v>
          </cell>
        </row>
        <row r="32">
          <cell r="C32">
            <v>2312</v>
          </cell>
          <cell r="D32" t="str">
            <v>Coit Primary School</v>
          </cell>
          <cell r="E32">
            <v>0</v>
          </cell>
          <cell r="F32">
            <v>205</v>
          </cell>
          <cell r="G32">
            <v>20871.049999999996</v>
          </cell>
          <cell r="H32">
            <v>6496.45</v>
          </cell>
        </row>
        <row r="33">
          <cell r="C33">
            <v>2026</v>
          </cell>
          <cell r="D33" t="str">
            <v>Concord Junior School</v>
          </cell>
          <cell r="E33" t="str">
            <v>Recoupment Academy</v>
          </cell>
          <cell r="F33">
            <v>198</v>
          </cell>
          <cell r="G33">
            <v>20158.379999999994</v>
          </cell>
          <cell r="H33">
            <v>6274.62</v>
          </cell>
        </row>
        <row r="34">
          <cell r="C34">
            <v>3422</v>
          </cell>
          <cell r="D34" t="str">
            <v>Deepcar St John's Church of England Junior School</v>
          </cell>
          <cell r="E34">
            <v>0</v>
          </cell>
          <cell r="F34">
            <v>175</v>
          </cell>
          <cell r="G34">
            <v>17816.749999999996</v>
          </cell>
          <cell r="H34">
            <v>5545.75</v>
          </cell>
        </row>
        <row r="35">
          <cell r="C35">
            <v>2283</v>
          </cell>
          <cell r="D35" t="str">
            <v>Dobcroft Infant School</v>
          </cell>
          <cell r="E35">
            <v>0</v>
          </cell>
          <cell r="F35">
            <v>269</v>
          </cell>
          <cell r="G35">
            <v>27386.889999999992</v>
          </cell>
          <cell r="H35">
            <v>8524.6099999999988</v>
          </cell>
        </row>
        <row r="36">
          <cell r="C36">
            <v>2239</v>
          </cell>
          <cell r="D36" t="str">
            <v>Dobcroft Junior School</v>
          </cell>
          <cell r="E36">
            <v>0</v>
          </cell>
          <cell r="F36">
            <v>382</v>
          </cell>
          <cell r="G36">
            <v>38891.419999999991</v>
          </cell>
          <cell r="H36">
            <v>12105.58</v>
          </cell>
        </row>
        <row r="37">
          <cell r="C37">
            <v>2364</v>
          </cell>
          <cell r="D37" t="str">
            <v>Dore Primary School</v>
          </cell>
          <cell r="E37">
            <v>0</v>
          </cell>
          <cell r="F37">
            <v>448</v>
          </cell>
          <cell r="G37">
            <v>45610.87999999999</v>
          </cell>
          <cell r="H37">
            <v>14197.119999999999</v>
          </cell>
        </row>
        <row r="38">
          <cell r="C38">
            <v>2016</v>
          </cell>
          <cell r="D38" t="str">
            <v>E-ACT Pathways Academy</v>
          </cell>
          <cell r="E38" t="str">
            <v>Recoupment Academy</v>
          </cell>
          <cell r="F38">
            <v>365</v>
          </cell>
          <cell r="G38">
            <v>37160.649999999987</v>
          </cell>
          <cell r="H38">
            <v>11566.849999999999</v>
          </cell>
        </row>
        <row r="39">
          <cell r="C39">
            <v>2206</v>
          </cell>
          <cell r="D39" t="str">
            <v>Ecclesall Primary School</v>
          </cell>
          <cell r="E39">
            <v>0</v>
          </cell>
          <cell r="F39">
            <v>620</v>
          </cell>
          <cell r="G39">
            <v>63122.199999999983</v>
          </cell>
          <cell r="H39">
            <v>19647.8</v>
          </cell>
        </row>
        <row r="40">
          <cell r="C40">
            <v>2080</v>
          </cell>
          <cell r="D40" t="str">
            <v>Ecclesfield Primary School</v>
          </cell>
          <cell r="E40">
            <v>0</v>
          </cell>
          <cell r="F40">
            <v>395</v>
          </cell>
          <cell r="G40">
            <v>40214.94999999999</v>
          </cell>
          <cell r="H40">
            <v>12517.55</v>
          </cell>
        </row>
        <row r="41">
          <cell r="C41">
            <v>2024</v>
          </cell>
          <cell r="D41" t="str">
            <v>Emmanuel Anglican/Methodist Junior School</v>
          </cell>
          <cell r="E41" t="str">
            <v>Recoupment Academy</v>
          </cell>
          <cell r="F41">
            <v>173</v>
          </cell>
          <cell r="G41">
            <v>17613.129999999994</v>
          </cell>
          <cell r="H41">
            <v>5482.37</v>
          </cell>
        </row>
        <row r="42">
          <cell r="C42">
            <v>2028</v>
          </cell>
          <cell r="D42" t="str">
            <v>Emmaus Catholic and CofE Primary School</v>
          </cell>
          <cell r="E42" t="str">
            <v>Recoupment Academy</v>
          </cell>
          <cell r="F42">
            <v>293</v>
          </cell>
          <cell r="G42">
            <v>29830.329999999991</v>
          </cell>
          <cell r="H42">
            <v>9285.17</v>
          </cell>
        </row>
        <row r="43">
          <cell r="C43">
            <v>2010</v>
          </cell>
          <cell r="D43" t="str">
            <v>Fox Hill Primary</v>
          </cell>
          <cell r="E43" t="str">
            <v>Recoupment Academy</v>
          </cell>
          <cell r="F43">
            <v>274</v>
          </cell>
          <cell r="G43">
            <v>27895.939999999991</v>
          </cell>
          <cell r="H43">
            <v>8683.06</v>
          </cell>
        </row>
        <row r="44">
          <cell r="C44">
            <v>2036</v>
          </cell>
          <cell r="D44" t="str">
            <v>Gleadless Primary School</v>
          </cell>
          <cell r="E44">
            <v>0</v>
          </cell>
          <cell r="F44">
            <v>398</v>
          </cell>
          <cell r="G44">
            <v>40520.37999999999</v>
          </cell>
          <cell r="H44">
            <v>12612.619999999999</v>
          </cell>
        </row>
        <row r="45">
          <cell r="C45">
            <v>2305</v>
          </cell>
          <cell r="D45" t="str">
            <v>Greengate Lane Academy</v>
          </cell>
          <cell r="E45" t="str">
            <v>Recoupment Academy</v>
          </cell>
          <cell r="F45">
            <v>190</v>
          </cell>
          <cell r="G45">
            <v>19343.899999999994</v>
          </cell>
          <cell r="H45">
            <v>6021.0999999999995</v>
          </cell>
        </row>
        <row r="46">
          <cell r="C46">
            <v>2341</v>
          </cell>
          <cell r="D46" t="str">
            <v>Greenhill Primary School</v>
          </cell>
          <cell r="E46" t="str">
            <v>Recoupment Academy</v>
          </cell>
          <cell r="F46">
            <v>468</v>
          </cell>
          <cell r="G46">
            <v>47647.079999999987</v>
          </cell>
          <cell r="H46">
            <v>14830.919999999998</v>
          </cell>
        </row>
        <row r="47">
          <cell r="C47">
            <v>2296</v>
          </cell>
          <cell r="D47" t="str">
            <v>Grenoside Community Primary School</v>
          </cell>
          <cell r="E47">
            <v>0</v>
          </cell>
          <cell r="F47">
            <v>322</v>
          </cell>
          <cell r="G47">
            <v>32782.819999999992</v>
          </cell>
          <cell r="H47">
            <v>10204.179999999998</v>
          </cell>
        </row>
        <row r="48">
          <cell r="C48">
            <v>2356</v>
          </cell>
          <cell r="D48" t="str">
            <v>Greystones Primary School</v>
          </cell>
          <cell r="E48">
            <v>0</v>
          </cell>
          <cell r="F48">
            <v>613</v>
          </cell>
          <cell r="G48">
            <v>62409.529999999984</v>
          </cell>
          <cell r="H48">
            <v>19425.969999999998</v>
          </cell>
        </row>
        <row r="49">
          <cell r="C49">
            <v>2279</v>
          </cell>
          <cell r="D49" t="str">
            <v>Halfway Junior School</v>
          </cell>
          <cell r="E49">
            <v>0</v>
          </cell>
          <cell r="F49">
            <v>206</v>
          </cell>
          <cell r="G49">
            <v>20972.859999999993</v>
          </cell>
          <cell r="H49">
            <v>6528.1399999999994</v>
          </cell>
        </row>
        <row r="50">
          <cell r="C50">
            <v>2252</v>
          </cell>
          <cell r="D50" t="str">
            <v>Halfway Nursery Infant School</v>
          </cell>
          <cell r="E50">
            <v>0</v>
          </cell>
          <cell r="F50">
            <v>157</v>
          </cell>
          <cell r="G50">
            <v>15984.169999999996</v>
          </cell>
          <cell r="H50">
            <v>4975.33</v>
          </cell>
        </row>
        <row r="51">
          <cell r="C51">
            <v>2357</v>
          </cell>
          <cell r="D51" t="str">
            <v>Hallam Primary School</v>
          </cell>
          <cell r="E51" t="str">
            <v>Recoupment Academy</v>
          </cell>
          <cell r="F51">
            <v>633</v>
          </cell>
          <cell r="G51">
            <v>64445.729999999981</v>
          </cell>
          <cell r="H51">
            <v>20059.769999999997</v>
          </cell>
        </row>
        <row r="52">
          <cell r="C52">
            <v>2050</v>
          </cell>
          <cell r="D52" t="str">
            <v>Hartley Brook Primary School</v>
          </cell>
          <cell r="E52" t="str">
            <v>Recoupment Academy</v>
          </cell>
          <cell r="F52">
            <v>570</v>
          </cell>
          <cell r="G52">
            <v>58031.699999999983</v>
          </cell>
          <cell r="H52">
            <v>18063.3</v>
          </cell>
        </row>
        <row r="53">
          <cell r="C53">
            <v>2049</v>
          </cell>
          <cell r="D53" t="str">
            <v>Hatfield Academy</v>
          </cell>
          <cell r="E53" t="str">
            <v>Recoupment Academy</v>
          </cell>
          <cell r="F53">
            <v>374</v>
          </cell>
          <cell r="G53">
            <v>38076.939999999988</v>
          </cell>
          <cell r="H53">
            <v>11852.06</v>
          </cell>
        </row>
        <row r="54">
          <cell r="C54">
            <v>2297</v>
          </cell>
          <cell r="D54" t="str">
            <v>High Green Primary School</v>
          </cell>
          <cell r="E54">
            <v>0</v>
          </cell>
          <cell r="F54">
            <v>194</v>
          </cell>
          <cell r="G54">
            <v>19751.139999999996</v>
          </cell>
          <cell r="H54">
            <v>6147.86</v>
          </cell>
        </row>
        <row r="55">
          <cell r="C55">
            <v>2042</v>
          </cell>
          <cell r="D55" t="str">
            <v>High Hazels Junior School</v>
          </cell>
          <cell r="E55" t="str">
            <v>Recoupment Academy</v>
          </cell>
          <cell r="F55">
            <v>356</v>
          </cell>
          <cell r="G55">
            <v>36244.359999999993</v>
          </cell>
          <cell r="H55">
            <v>11281.64</v>
          </cell>
        </row>
        <row r="56">
          <cell r="C56">
            <v>2039</v>
          </cell>
          <cell r="D56" t="str">
            <v>High Hazels Nursery Infant Academy</v>
          </cell>
          <cell r="E56" t="str">
            <v>Recoupment Academy</v>
          </cell>
          <cell r="F56">
            <v>248</v>
          </cell>
          <cell r="G56">
            <v>25248.879999999994</v>
          </cell>
          <cell r="H56">
            <v>7859.119999999999</v>
          </cell>
        </row>
        <row r="57">
          <cell r="C57">
            <v>2339</v>
          </cell>
          <cell r="D57" t="str">
            <v>Hillsborough Primary School</v>
          </cell>
          <cell r="E57" t="str">
            <v>Recoupment Academy</v>
          </cell>
          <cell r="F57">
            <v>340</v>
          </cell>
          <cell r="G57">
            <v>34615.399999999994</v>
          </cell>
          <cell r="H57">
            <v>10774.599999999999</v>
          </cell>
        </row>
        <row r="58">
          <cell r="C58">
            <v>2213</v>
          </cell>
          <cell r="D58" t="str">
            <v>Holt House Infant School</v>
          </cell>
          <cell r="E58">
            <v>0</v>
          </cell>
          <cell r="F58">
            <v>179</v>
          </cell>
          <cell r="G58">
            <v>18223.989999999994</v>
          </cell>
          <cell r="H58">
            <v>5672.5099999999993</v>
          </cell>
        </row>
        <row r="59">
          <cell r="C59">
            <v>2337</v>
          </cell>
          <cell r="D59" t="str">
            <v>Hucklow Primary School</v>
          </cell>
          <cell r="E59" t="str">
            <v>Recoupment Academy</v>
          </cell>
          <cell r="F59">
            <v>407</v>
          </cell>
          <cell r="G59">
            <v>41436.669999999991</v>
          </cell>
          <cell r="H59">
            <v>12897.83</v>
          </cell>
        </row>
        <row r="60">
          <cell r="C60">
            <v>2060</v>
          </cell>
          <cell r="D60" t="str">
            <v>Hunter's Bar Infant School</v>
          </cell>
          <cell r="E60">
            <v>0</v>
          </cell>
          <cell r="F60">
            <v>269</v>
          </cell>
          <cell r="G60">
            <v>27386.889999999992</v>
          </cell>
          <cell r="H60">
            <v>8524.6099999999988</v>
          </cell>
        </row>
        <row r="61">
          <cell r="C61">
            <v>2058</v>
          </cell>
          <cell r="D61" t="str">
            <v>Hunter's Bar Junior School</v>
          </cell>
          <cell r="E61">
            <v>0</v>
          </cell>
          <cell r="F61">
            <v>362</v>
          </cell>
          <cell r="G61">
            <v>36855.219999999994</v>
          </cell>
          <cell r="H61">
            <v>11471.779999999999</v>
          </cell>
        </row>
        <row r="62">
          <cell r="C62">
            <v>2063</v>
          </cell>
          <cell r="D62" t="str">
            <v>Intake Primary School</v>
          </cell>
          <cell r="E62">
            <v>0</v>
          </cell>
          <cell r="F62">
            <v>413</v>
          </cell>
          <cell r="G62">
            <v>42047.529999999992</v>
          </cell>
          <cell r="H62">
            <v>13087.97</v>
          </cell>
        </row>
        <row r="63">
          <cell r="C63">
            <v>2261</v>
          </cell>
          <cell r="D63" t="str">
            <v>Limpsfield Junior School</v>
          </cell>
          <cell r="E63">
            <v>0</v>
          </cell>
          <cell r="F63">
            <v>225</v>
          </cell>
          <cell r="G63">
            <v>22907.249999999993</v>
          </cell>
          <cell r="H63">
            <v>7130.2499999999991</v>
          </cell>
        </row>
        <row r="64">
          <cell r="C64">
            <v>2315</v>
          </cell>
          <cell r="D64" t="str">
            <v>Lound Infant School</v>
          </cell>
          <cell r="E64" t="str">
            <v>Recoupment Academy</v>
          </cell>
          <cell r="F64">
            <v>148</v>
          </cell>
          <cell r="G64">
            <v>15067.879999999996</v>
          </cell>
          <cell r="H64">
            <v>4690.12</v>
          </cell>
        </row>
        <row r="65">
          <cell r="C65">
            <v>2298</v>
          </cell>
          <cell r="D65" t="str">
            <v>Lound Junior School</v>
          </cell>
          <cell r="E65" t="str">
            <v>Recoupment Academy</v>
          </cell>
          <cell r="F65">
            <v>211</v>
          </cell>
          <cell r="G65">
            <v>21481.909999999996</v>
          </cell>
          <cell r="H65">
            <v>6686.5899999999992</v>
          </cell>
        </row>
        <row r="66">
          <cell r="C66">
            <v>2029</v>
          </cell>
          <cell r="D66" t="str">
            <v>Lowedges Junior Academy</v>
          </cell>
          <cell r="E66" t="str">
            <v>Recoupment Academy</v>
          </cell>
          <cell r="F66">
            <v>299</v>
          </cell>
          <cell r="G66">
            <v>30441.189999999991</v>
          </cell>
          <cell r="H66">
            <v>9475.31</v>
          </cell>
        </row>
        <row r="67">
          <cell r="C67">
            <v>2045</v>
          </cell>
          <cell r="D67" t="str">
            <v>Lower Meadow Primary School</v>
          </cell>
          <cell r="E67" t="str">
            <v>Recoupment Academy</v>
          </cell>
          <cell r="F67">
            <v>259</v>
          </cell>
          <cell r="G67">
            <v>26368.789999999994</v>
          </cell>
          <cell r="H67">
            <v>8207.7099999999991</v>
          </cell>
        </row>
        <row r="68">
          <cell r="C68">
            <v>2070</v>
          </cell>
          <cell r="D68" t="str">
            <v>Lowfield Community Primary School</v>
          </cell>
          <cell r="E68">
            <v>0</v>
          </cell>
          <cell r="F68">
            <v>379</v>
          </cell>
          <cell r="G68">
            <v>38585.989999999991</v>
          </cell>
          <cell r="H68">
            <v>12010.509999999998</v>
          </cell>
        </row>
        <row r="69">
          <cell r="C69">
            <v>2292</v>
          </cell>
          <cell r="D69" t="str">
            <v>Loxley Primary School</v>
          </cell>
          <cell r="E69" t="str">
            <v>Recoupment Academy</v>
          </cell>
          <cell r="F69">
            <v>210</v>
          </cell>
          <cell r="G69">
            <v>21380.099999999995</v>
          </cell>
          <cell r="H69">
            <v>6654.9</v>
          </cell>
        </row>
        <row r="70">
          <cell r="C70">
            <v>2072</v>
          </cell>
          <cell r="D70" t="str">
            <v>Lydgate Infant School</v>
          </cell>
          <cell r="E70">
            <v>0</v>
          </cell>
          <cell r="F70">
            <v>344</v>
          </cell>
          <cell r="G70">
            <v>35022.639999999992</v>
          </cell>
          <cell r="H70">
            <v>10901.359999999999</v>
          </cell>
        </row>
        <row r="71">
          <cell r="C71">
            <v>2071</v>
          </cell>
          <cell r="D71" t="str">
            <v>Lydgate Junior School</v>
          </cell>
          <cell r="E71">
            <v>0</v>
          </cell>
          <cell r="F71">
            <v>479</v>
          </cell>
          <cell r="G71">
            <v>48766.989999999991</v>
          </cell>
          <cell r="H71">
            <v>15179.509999999998</v>
          </cell>
        </row>
        <row r="72">
          <cell r="C72">
            <v>2358</v>
          </cell>
          <cell r="D72" t="str">
            <v>Malin Bridge Primary School</v>
          </cell>
          <cell r="E72" t="str">
            <v>Recoupment Academy</v>
          </cell>
          <cell r="F72">
            <v>517</v>
          </cell>
          <cell r="G72">
            <v>52635.76999999999</v>
          </cell>
          <cell r="H72">
            <v>16383.73</v>
          </cell>
        </row>
        <row r="73">
          <cell r="C73">
            <v>2359</v>
          </cell>
          <cell r="D73" t="str">
            <v>Manor Lodge Community Primary and Nursery School</v>
          </cell>
          <cell r="E73" t="str">
            <v>Recoupment Academy</v>
          </cell>
          <cell r="F73">
            <v>333</v>
          </cell>
          <cell r="G73">
            <v>33902.729999999989</v>
          </cell>
          <cell r="H73">
            <v>10552.769999999999</v>
          </cell>
        </row>
        <row r="74">
          <cell r="C74">
            <v>2012</v>
          </cell>
          <cell r="D74" t="str">
            <v>Mansel Primary</v>
          </cell>
          <cell r="E74" t="str">
            <v>Recoupment Academy</v>
          </cell>
          <cell r="F74">
            <v>399</v>
          </cell>
          <cell r="G74">
            <v>40622.189999999988</v>
          </cell>
          <cell r="H74">
            <v>12644.31</v>
          </cell>
        </row>
        <row r="75">
          <cell r="C75">
            <v>2079</v>
          </cell>
          <cell r="D75" t="str">
            <v>Marlcliffe Community Primary School</v>
          </cell>
          <cell r="E75">
            <v>0</v>
          </cell>
          <cell r="F75">
            <v>501</v>
          </cell>
          <cell r="G75">
            <v>51006.80999999999</v>
          </cell>
          <cell r="H75">
            <v>15876.689999999999</v>
          </cell>
        </row>
        <row r="76">
          <cell r="C76">
            <v>2081</v>
          </cell>
          <cell r="D76" t="str">
            <v>Meersbrook Bank Primary School</v>
          </cell>
          <cell r="E76">
            <v>0</v>
          </cell>
          <cell r="F76">
            <v>207</v>
          </cell>
          <cell r="G76">
            <v>21074.669999999995</v>
          </cell>
          <cell r="H76">
            <v>6559.83</v>
          </cell>
        </row>
        <row r="77">
          <cell r="C77">
            <v>2013</v>
          </cell>
          <cell r="D77" t="str">
            <v>Meynell Community Primary School</v>
          </cell>
          <cell r="E77" t="str">
            <v>Recoupment Academy</v>
          </cell>
          <cell r="F77">
            <v>368</v>
          </cell>
          <cell r="G77">
            <v>37466.079999999987</v>
          </cell>
          <cell r="H77">
            <v>11661.919999999998</v>
          </cell>
        </row>
        <row r="78">
          <cell r="C78">
            <v>2346</v>
          </cell>
          <cell r="D78" t="str">
            <v>Monteney Primary School</v>
          </cell>
          <cell r="E78" t="str">
            <v>Recoupment Academy</v>
          </cell>
          <cell r="F78">
            <v>404</v>
          </cell>
          <cell r="G78">
            <v>41131.239999999991</v>
          </cell>
          <cell r="H78">
            <v>12802.759999999998</v>
          </cell>
        </row>
        <row r="79">
          <cell r="C79">
            <v>2257</v>
          </cell>
          <cell r="D79" t="str">
            <v>Mosborough Primary School</v>
          </cell>
          <cell r="E79">
            <v>0</v>
          </cell>
          <cell r="F79">
            <v>418</v>
          </cell>
          <cell r="G79">
            <v>42556.579999999987</v>
          </cell>
          <cell r="H79">
            <v>13246.419999999998</v>
          </cell>
        </row>
        <row r="80">
          <cell r="C80">
            <v>2092</v>
          </cell>
          <cell r="D80" t="str">
            <v>Mundella Primary School</v>
          </cell>
          <cell r="E80">
            <v>0</v>
          </cell>
          <cell r="F80">
            <v>416</v>
          </cell>
          <cell r="G80">
            <v>42352.959999999992</v>
          </cell>
          <cell r="H80">
            <v>13183.039999999999</v>
          </cell>
        </row>
        <row r="81">
          <cell r="C81">
            <v>2002</v>
          </cell>
          <cell r="D81" t="str">
            <v>Nether Edge Primary School</v>
          </cell>
          <cell r="E81" t="str">
            <v>Recoupment Academy</v>
          </cell>
          <cell r="F81">
            <v>419</v>
          </cell>
          <cell r="G81">
            <v>42658.389999999992</v>
          </cell>
          <cell r="H81">
            <v>13278.109999999999</v>
          </cell>
        </row>
        <row r="82">
          <cell r="C82">
            <v>2221</v>
          </cell>
          <cell r="D82" t="str">
            <v>Nether Green Infant School</v>
          </cell>
          <cell r="E82">
            <v>0</v>
          </cell>
          <cell r="F82">
            <v>223</v>
          </cell>
          <cell r="G82">
            <v>22703.629999999994</v>
          </cell>
          <cell r="H82">
            <v>7066.87</v>
          </cell>
        </row>
        <row r="83">
          <cell r="C83">
            <v>2087</v>
          </cell>
          <cell r="D83" t="str">
            <v>Nether Green Junior School</v>
          </cell>
          <cell r="E83">
            <v>0</v>
          </cell>
          <cell r="F83">
            <v>377</v>
          </cell>
          <cell r="G83">
            <v>38382.369999999988</v>
          </cell>
          <cell r="H83">
            <v>11947.13</v>
          </cell>
        </row>
        <row r="84">
          <cell r="C84">
            <v>2272</v>
          </cell>
          <cell r="D84" t="str">
            <v>Netherthorpe Primary School</v>
          </cell>
          <cell r="E84">
            <v>0</v>
          </cell>
          <cell r="F84">
            <v>217</v>
          </cell>
          <cell r="G84">
            <v>22092.769999999993</v>
          </cell>
          <cell r="H84">
            <v>6876.73</v>
          </cell>
        </row>
        <row r="85">
          <cell r="C85">
            <v>2309</v>
          </cell>
          <cell r="D85" t="str">
            <v>Nook Lane Junior School</v>
          </cell>
          <cell r="E85" t="str">
            <v>Recoupment Academy</v>
          </cell>
          <cell r="F85">
            <v>243</v>
          </cell>
          <cell r="G85">
            <v>24739.829999999994</v>
          </cell>
          <cell r="H85">
            <v>7700.6699999999992</v>
          </cell>
        </row>
        <row r="86">
          <cell r="C86">
            <v>2051</v>
          </cell>
          <cell r="D86" t="str">
            <v>Norfolk Community Primary School</v>
          </cell>
          <cell r="E86" t="str">
            <v>Recoupment Academy</v>
          </cell>
          <cell r="F86">
            <v>384</v>
          </cell>
          <cell r="G86">
            <v>39095.039999999994</v>
          </cell>
          <cell r="H86">
            <v>12168.96</v>
          </cell>
        </row>
        <row r="87">
          <cell r="C87">
            <v>3010</v>
          </cell>
          <cell r="D87" t="str">
            <v>Norton Free Church of England Primary School</v>
          </cell>
          <cell r="E87">
            <v>0</v>
          </cell>
          <cell r="F87">
            <v>213</v>
          </cell>
          <cell r="G87">
            <v>21685.529999999995</v>
          </cell>
          <cell r="H87">
            <v>6749.9699999999993</v>
          </cell>
        </row>
        <row r="88">
          <cell r="C88">
            <v>2018</v>
          </cell>
          <cell r="D88" t="str">
            <v>Oasis Academy Fir Vale</v>
          </cell>
          <cell r="E88" t="str">
            <v>Recoupment Academy</v>
          </cell>
          <cell r="F88">
            <v>407</v>
          </cell>
          <cell r="G88">
            <v>41436.669999999991</v>
          </cell>
          <cell r="H88">
            <v>12897.83</v>
          </cell>
        </row>
        <row r="89">
          <cell r="C89">
            <v>2019</v>
          </cell>
          <cell r="D89" t="str">
            <v>Oasis Academy Watermead</v>
          </cell>
          <cell r="E89" t="str">
            <v>Recoupment Academy</v>
          </cell>
          <cell r="F89">
            <v>380</v>
          </cell>
          <cell r="G89">
            <v>38687.799999999988</v>
          </cell>
          <cell r="H89">
            <v>12042.199999999999</v>
          </cell>
        </row>
        <row r="90">
          <cell r="C90">
            <v>2313</v>
          </cell>
          <cell r="D90" t="str">
            <v>Oughtibridge Primary School</v>
          </cell>
          <cell r="E90" t="str">
            <v>Recoupment Academy</v>
          </cell>
          <cell r="F90">
            <v>417</v>
          </cell>
          <cell r="G90">
            <v>42454.76999999999</v>
          </cell>
          <cell r="H90">
            <v>13214.73</v>
          </cell>
        </row>
        <row r="91">
          <cell r="C91">
            <v>2093</v>
          </cell>
          <cell r="D91" t="str">
            <v>Owler Brook Primary School</v>
          </cell>
          <cell r="E91" t="str">
            <v>Recoupment Academy</v>
          </cell>
          <cell r="F91">
            <v>400</v>
          </cell>
          <cell r="G91">
            <v>40723.999999999993</v>
          </cell>
          <cell r="H91">
            <v>12676</v>
          </cell>
        </row>
        <row r="92">
          <cell r="C92">
            <v>3428</v>
          </cell>
          <cell r="D92" t="str">
            <v>Parson Cross Church of England Primary School</v>
          </cell>
          <cell r="E92">
            <v>0</v>
          </cell>
          <cell r="F92">
            <v>203</v>
          </cell>
          <cell r="G92">
            <v>20667.429999999993</v>
          </cell>
          <cell r="H92">
            <v>6433.07</v>
          </cell>
        </row>
        <row r="93">
          <cell r="C93">
            <v>2332</v>
          </cell>
          <cell r="D93" t="str">
            <v>Phillimore Community Primary School</v>
          </cell>
          <cell r="E93" t="str">
            <v>Recoupment Academy</v>
          </cell>
          <cell r="F93">
            <v>388</v>
          </cell>
          <cell r="G93">
            <v>39502.279999999992</v>
          </cell>
          <cell r="H93">
            <v>12295.72</v>
          </cell>
        </row>
        <row r="94">
          <cell r="C94">
            <v>3433</v>
          </cell>
          <cell r="D94" t="str">
            <v>Pipworth Community Primary School</v>
          </cell>
          <cell r="E94">
            <v>0</v>
          </cell>
          <cell r="F94">
            <v>394</v>
          </cell>
          <cell r="G94">
            <v>40113.139999999992</v>
          </cell>
          <cell r="H94">
            <v>12485.859999999999</v>
          </cell>
        </row>
        <row r="95">
          <cell r="C95">
            <v>3427</v>
          </cell>
          <cell r="D95" t="str">
            <v>Porter Croft Church of England Primary Academy</v>
          </cell>
          <cell r="E95" t="str">
            <v>Recoupment Academy</v>
          </cell>
          <cell r="F95">
            <v>214</v>
          </cell>
          <cell r="G95">
            <v>21787.339999999993</v>
          </cell>
          <cell r="H95">
            <v>6781.66</v>
          </cell>
        </row>
        <row r="96">
          <cell r="C96">
            <v>2347</v>
          </cell>
          <cell r="D96" t="str">
            <v>Prince Edward Primary School</v>
          </cell>
          <cell r="E96">
            <v>0</v>
          </cell>
          <cell r="F96">
            <v>407</v>
          </cell>
          <cell r="G96">
            <v>41436.669999999991</v>
          </cell>
          <cell r="H96">
            <v>12897.83</v>
          </cell>
        </row>
        <row r="97">
          <cell r="C97">
            <v>2366</v>
          </cell>
          <cell r="D97" t="str">
            <v>Pye Bank CofE Primary School</v>
          </cell>
          <cell r="E97" t="str">
            <v>Recoupment Academy</v>
          </cell>
          <cell r="F97">
            <v>423</v>
          </cell>
          <cell r="G97">
            <v>43065.62999999999</v>
          </cell>
          <cell r="H97">
            <v>13404.869999999999</v>
          </cell>
        </row>
        <row r="98">
          <cell r="C98">
            <v>2363</v>
          </cell>
          <cell r="D98" t="str">
            <v>Rainbow Forge Primary Academy</v>
          </cell>
          <cell r="E98" t="str">
            <v>Recoupment Academy</v>
          </cell>
          <cell r="F98">
            <v>297</v>
          </cell>
          <cell r="G98">
            <v>30237.569999999992</v>
          </cell>
          <cell r="H98">
            <v>9411.9299999999985</v>
          </cell>
        </row>
        <row r="99">
          <cell r="C99">
            <v>2334</v>
          </cell>
          <cell r="D99" t="str">
            <v>Reignhead Primary School</v>
          </cell>
          <cell r="E99">
            <v>0</v>
          </cell>
          <cell r="F99">
            <v>244</v>
          </cell>
          <cell r="G99">
            <v>24841.639999999992</v>
          </cell>
          <cell r="H99">
            <v>7732.36</v>
          </cell>
        </row>
        <row r="100">
          <cell r="C100">
            <v>2338</v>
          </cell>
          <cell r="D100" t="str">
            <v>Rivelin Primary School</v>
          </cell>
          <cell r="E100">
            <v>0</v>
          </cell>
          <cell r="F100">
            <v>351</v>
          </cell>
          <cell r="G100">
            <v>35735.30999999999</v>
          </cell>
          <cell r="H100">
            <v>11123.189999999999</v>
          </cell>
        </row>
        <row r="101">
          <cell r="C101">
            <v>2306</v>
          </cell>
          <cell r="D101" t="str">
            <v>Royd Nursery and Infant School</v>
          </cell>
          <cell r="E101">
            <v>0</v>
          </cell>
          <cell r="F101">
            <v>122</v>
          </cell>
          <cell r="G101">
            <v>12420.819999999996</v>
          </cell>
          <cell r="H101">
            <v>3866.18</v>
          </cell>
        </row>
        <row r="102">
          <cell r="C102">
            <v>3401</v>
          </cell>
          <cell r="D102" t="str">
            <v>Sacred Heart School, A Catholic Voluntary Academy</v>
          </cell>
          <cell r="E102" t="str">
            <v>Recoupment Academy</v>
          </cell>
          <cell r="F102">
            <v>200</v>
          </cell>
          <cell r="G102">
            <v>20361.999999999996</v>
          </cell>
          <cell r="H102">
            <v>6338</v>
          </cell>
        </row>
        <row r="103">
          <cell r="C103">
            <v>2369</v>
          </cell>
          <cell r="D103" t="str">
            <v>Sharrow Nursery, Infant and Junior School</v>
          </cell>
          <cell r="E103">
            <v>0</v>
          </cell>
          <cell r="F103">
            <v>417</v>
          </cell>
          <cell r="G103">
            <v>42454.76999999999</v>
          </cell>
          <cell r="H103">
            <v>13214.73</v>
          </cell>
        </row>
        <row r="104">
          <cell r="C104">
            <v>2349</v>
          </cell>
          <cell r="D104" t="str">
            <v>Shooter's Grove Primary School</v>
          </cell>
          <cell r="E104">
            <v>0</v>
          </cell>
          <cell r="F104">
            <v>359</v>
          </cell>
          <cell r="G104">
            <v>36549.789999999994</v>
          </cell>
          <cell r="H104">
            <v>11376.71</v>
          </cell>
        </row>
        <row r="105">
          <cell r="C105">
            <v>2360</v>
          </cell>
          <cell r="D105" t="str">
            <v>Shortbrook Primary School</v>
          </cell>
          <cell r="E105">
            <v>0</v>
          </cell>
          <cell r="F105">
            <v>84</v>
          </cell>
          <cell r="G105">
            <v>8552.0399999999972</v>
          </cell>
          <cell r="H105">
            <v>2661.96</v>
          </cell>
        </row>
        <row r="106">
          <cell r="C106">
            <v>2009</v>
          </cell>
          <cell r="D106" t="str">
            <v>Southey Green Primary School and Nurseries</v>
          </cell>
          <cell r="E106" t="str">
            <v>Recoupment Academy</v>
          </cell>
          <cell r="F106">
            <v>611</v>
          </cell>
          <cell r="G106">
            <v>62205.909999999982</v>
          </cell>
          <cell r="H106">
            <v>19362.59</v>
          </cell>
        </row>
        <row r="107">
          <cell r="C107">
            <v>2329</v>
          </cell>
          <cell r="D107" t="str">
            <v>Springfield Primary School</v>
          </cell>
          <cell r="E107">
            <v>0</v>
          </cell>
          <cell r="F107">
            <v>208</v>
          </cell>
          <cell r="G107">
            <v>21176.479999999996</v>
          </cell>
          <cell r="H107">
            <v>6591.5199999999995</v>
          </cell>
        </row>
        <row r="108">
          <cell r="C108">
            <v>5202</v>
          </cell>
          <cell r="D108" t="str">
            <v>St Ann's Catholic Primary School, A Voluntary Academy</v>
          </cell>
          <cell r="E108" t="str">
            <v>Recoupment Academy</v>
          </cell>
          <cell r="F108">
            <v>99</v>
          </cell>
          <cell r="G108">
            <v>10079.189999999997</v>
          </cell>
          <cell r="H108">
            <v>3137.31</v>
          </cell>
        </row>
        <row r="109">
          <cell r="C109">
            <v>3402</v>
          </cell>
          <cell r="D109" t="str">
            <v>St Catherine's Catholic Primary School (Hallam)</v>
          </cell>
          <cell r="E109" t="str">
            <v>Recoupment Academy</v>
          </cell>
          <cell r="F109">
            <v>421</v>
          </cell>
          <cell r="G109">
            <v>42862.009999999987</v>
          </cell>
          <cell r="H109">
            <v>13341.49</v>
          </cell>
        </row>
        <row r="110">
          <cell r="C110">
            <v>2017</v>
          </cell>
          <cell r="D110" t="str">
            <v>St John Fisher Primary, A Catholic Voluntary Academy</v>
          </cell>
          <cell r="E110" t="str">
            <v>Recoupment Academy</v>
          </cell>
          <cell r="F110">
            <v>208</v>
          </cell>
          <cell r="G110">
            <v>21176.479999999996</v>
          </cell>
          <cell r="H110">
            <v>6591.5199999999995</v>
          </cell>
        </row>
        <row r="111">
          <cell r="C111">
            <v>5203</v>
          </cell>
          <cell r="D111" t="str">
            <v>St Joseph's Primary School</v>
          </cell>
          <cell r="E111" t="str">
            <v>Recoupment Academy</v>
          </cell>
          <cell r="F111">
            <v>207</v>
          </cell>
          <cell r="G111">
            <v>21074.669999999995</v>
          </cell>
          <cell r="H111">
            <v>6559.83</v>
          </cell>
        </row>
        <row r="112">
          <cell r="C112">
            <v>3406</v>
          </cell>
          <cell r="D112" t="str">
            <v>St Marie's School, A Catholic Voluntary Academy</v>
          </cell>
          <cell r="E112" t="str">
            <v>Recoupment Academy</v>
          </cell>
          <cell r="F112">
            <v>216</v>
          </cell>
          <cell r="G112">
            <v>21990.959999999995</v>
          </cell>
          <cell r="H112">
            <v>6845.0399999999991</v>
          </cell>
        </row>
        <row r="113">
          <cell r="C113">
            <v>2020</v>
          </cell>
          <cell r="D113" t="str">
            <v>St Mary's Church of England Primary School</v>
          </cell>
          <cell r="E113" t="str">
            <v>Recoupment Academy</v>
          </cell>
          <cell r="F113">
            <v>204</v>
          </cell>
          <cell r="G113">
            <v>20769.239999999994</v>
          </cell>
          <cell r="H113">
            <v>6464.7599999999993</v>
          </cell>
        </row>
        <row r="114">
          <cell r="C114">
            <v>3423</v>
          </cell>
          <cell r="D114" t="str">
            <v>St Mary's Primary School, A Catholic Voluntary Academy</v>
          </cell>
          <cell r="E114" t="str">
            <v>Recoupment Academy</v>
          </cell>
          <cell r="F114">
            <v>176</v>
          </cell>
          <cell r="G114">
            <v>17918.559999999994</v>
          </cell>
          <cell r="H114">
            <v>5577.44</v>
          </cell>
        </row>
        <row r="115">
          <cell r="C115">
            <v>5207</v>
          </cell>
          <cell r="D115" t="str">
            <v>St Patrick's Catholic Voluntary Academy</v>
          </cell>
          <cell r="E115" t="str">
            <v>Recoupment Academy</v>
          </cell>
          <cell r="F115">
            <v>279</v>
          </cell>
          <cell r="G115">
            <v>28404.989999999994</v>
          </cell>
          <cell r="H115">
            <v>8841.51</v>
          </cell>
        </row>
        <row r="116">
          <cell r="C116">
            <v>5208</v>
          </cell>
          <cell r="D116" t="str">
            <v>St Theresa's Catholic Primary School</v>
          </cell>
          <cell r="E116">
            <v>0</v>
          </cell>
          <cell r="F116">
            <v>207</v>
          </cell>
          <cell r="G116">
            <v>21074.669999999995</v>
          </cell>
          <cell r="H116">
            <v>6559.83</v>
          </cell>
        </row>
        <row r="117">
          <cell r="C117">
            <v>3424</v>
          </cell>
          <cell r="D117" t="str">
            <v>St Thomas More Catholic Primary, A Voluntary Academy</v>
          </cell>
          <cell r="E117" t="str">
            <v>Recoupment Academy</v>
          </cell>
          <cell r="F117">
            <v>208</v>
          </cell>
          <cell r="G117">
            <v>21176.479999999996</v>
          </cell>
          <cell r="H117">
            <v>6591.5199999999995</v>
          </cell>
        </row>
        <row r="118">
          <cell r="C118">
            <v>3414</v>
          </cell>
          <cell r="D118" t="str">
            <v>St Thomas of Canterbury School, a Catholic Voluntary Academy</v>
          </cell>
          <cell r="E118" t="str">
            <v>Recoupment Academy</v>
          </cell>
          <cell r="F118">
            <v>210</v>
          </cell>
          <cell r="G118">
            <v>21380.099999999995</v>
          </cell>
          <cell r="H118">
            <v>6654.9</v>
          </cell>
        </row>
        <row r="119">
          <cell r="C119">
            <v>3412</v>
          </cell>
          <cell r="D119" t="str">
            <v>St Wilfrid's Catholic Primary School</v>
          </cell>
          <cell r="E119" t="str">
            <v>Recoupment Academy</v>
          </cell>
          <cell r="F119">
            <v>297</v>
          </cell>
          <cell r="G119">
            <v>30237.569999999992</v>
          </cell>
          <cell r="H119">
            <v>9411.9299999999985</v>
          </cell>
        </row>
        <row r="120">
          <cell r="C120">
            <v>2294</v>
          </cell>
          <cell r="D120" t="str">
            <v>Stannington Infant School</v>
          </cell>
          <cell r="E120" t="str">
            <v>Recoupment Academy</v>
          </cell>
          <cell r="F120">
            <v>181</v>
          </cell>
          <cell r="G120">
            <v>18427.609999999997</v>
          </cell>
          <cell r="H120">
            <v>5735.8899999999994</v>
          </cell>
        </row>
        <row r="121">
          <cell r="C121">
            <v>2303</v>
          </cell>
          <cell r="D121" t="str">
            <v>Stocksbridge Junior School</v>
          </cell>
          <cell r="E121">
            <v>0</v>
          </cell>
          <cell r="F121">
            <v>295</v>
          </cell>
          <cell r="G121">
            <v>30033.949999999993</v>
          </cell>
          <cell r="H121">
            <v>9348.5499999999993</v>
          </cell>
        </row>
        <row r="122">
          <cell r="C122">
            <v>2302</v>
          </cell>
          <cell r="D122" t="str">
            <v>Stocksbridge Nursery Infant School</v>
          </cell>
          <cell r="E122" t="str">
            <v>Recoupment Academy</v>
          </cell>
          <cell r="F122">
            <v>198</v>
          </cell>
          <cell r="G122">
            <v>20158.379999999994</v>
          </cell>
          <cell r="H122">
            <v>6274.62</v>
          </cell>
        </row>
        <row r="123">
          <cell r="C123">
            <v>2350</v>
          </cell>
          <cell r="D123" t="str">
            <v>Stradbroke Primary School</v>
          </cell>
          <cell r="E123">
            <v>0</v>
          </cell>
          <cell r="F123">
            <v>411</v>
          </cell>
          <cell r="G123">
            <v>41843.909999999989</v>
          </cell>
          <cell r="H123">
            <v>13024.589999999998</v>
          </cell>
        </row>
        <row r="124">
          <cell r="C124">
            <v>2230</v>
          </cell>
          <cell r="D124" t="str">
            <v>Tinsley Meadows Primary School</v>
          </cell>
          <cell r="E124" t="str">
            <v>Recoupment Academy</v>
          </cell>
          <cell r="F124">
            <v>545</v>
          </cell>
          <cell r="G124">
            <v>55486.449999999983</v>
          </cell>
          <cell r="H124">
            <v>17271.05</v>
          </cell>
        </row>
        <row r="125">
          <cell r="C125">
            <v>5206</v>
          </cell>
          <cell r="D125" t="str">
            <v>Totley All Saints Church of England Voluntary Aided Primary School</v>
          </cell>
          <cell r="E125" t="str">
            <v>Recoupment Academy</v>
          </cell>
          <cell r="F125">
            <v>211</v>
          </cell>
          <cell r="G125">
            <v>21481.909999999996</v>
          </cell>
          <cell r="H125">
            <v>6686.5899999999992</v>
          </cell>
        </row>
        <row r="126">
          <cell r="C126">
            <v>2203</v>
          </cell>
          <cell r="D126" t="str">
            <v>Totley Primary School</v>
          </cell>
          <cell r="E126" t="str">
            <v>Recoupment Academy</v>
          </cell>
          <cell r="F126">
            <v>423</v>
          </cell>
          <cell r="G126">
            <v>43065.62999999999</v>
          </cell>
          <cell r="H126">
            <v>13404.869999999999</v>
          </cell>
        </row>
        <row r="127">
          <cell r="C127">
            <v>2351</v>
          </cell>
          <cell r="D127" t="str">
            <v>Walkley Primary School</v>
          </cell>
          <cell r="E127">
            <v>0</v>
          </cell>
          <cell r="F127">
            <v>377</v>
          </cell>
          <cell r="G127">
            <v>38382.369999999988</v>
          </cell>
          <cell r="H127">
            <v>11947.13</v>
          </cell>
        </row>
        <row r="128">
          <cell r="C128">
            <v>3432</v>
          </cell>
          <cell r="D128" t="str">
            <v>Watercliffe Meadow Community Primary School</v>
          </cell>
          <cell r="E128">
            <v>0</v>
          </cell>
          <cell r="F128">
            <v>417</v>
          </cell>
          <cell r="G128">
            <v>42454.76999999999</v>
          </cell>
          <cell r="H128">
            <v>13214.73</v>
          </cell>
        </row>
        <row r="129">
          <cell r="C129">
            <v>2319</v>
          </cell>
          <cell r="D129" t="str">
            <v>Waterthorpe Infant School</v>
          </cell>
          <cell r="E129">
            <v>0</v>
          </cell>
          <cell r="F129">
            <v>134</v>
          </cell>
          <cell r="G129">
            <v>13642.539999999997</v>
          </cell>
          <cell r="H129">
            <v>4246.46</v>
          </cell>
        </row>
        <row r="130">
          <cell r="C130">
            <v>2352</v>
          </cell>
          <cell r="D130" t="str">
            <v>Westways Primary School</v>
          </cell>
          <cell r="E130">
            <v>0</v>
          </cell>
          <cell r="F130">
            <v>580</v>
          </cell>
          <cell r="G130">
            <v>59049.799999999988</v>
          </cell>
          <cell r="H130">
            <v>18380.199999999997</v>
          </cell>
        </row>
        <row r="131">
          <cell r="C131">
            <v>2311</v>
          </cell>
          <cell r="D131" t="str">
            <v>Wharncliffe Side Primary School</v>
          </cell>
          <cell r="E131" t="str">
            <v>Recoupment Academy</v>
          </cell>
          <cell r="F131">
            <v>142</v>
          </cell>
          <cell r="G131">
            <v>14457.019999999997</v>
          </cell>
          <cell r="H131">
            <v>4499.9799999999996</v>
          </cell>
        </row>
        <row r="132">
          <cell r="C132">
            <v>2040</v>
          </cell>
          <cell r="D132" t="str">
            <v>Whiteways Primary School</v>
          </cell>
          <cell r="E132" t="str">
            <v>Recoupment Academy</v>
          </cell>
          <cell r="F132">
            <v>406</v>
          </cell>
          <cell r="G132">
            <v>41334.859999999986</v>
          </cell>
          <cell r="H132">
            <v>12866.14</v>
          </cell>
        </row>
        <row r="133">
          <cell r="C133">
            <v>2027</v>
          </cell>
          <cell r="D133" t="str">
            <v>Wincobank Nursery and Infant School</v>
          </cell>
          <cell r="E133" t="str">
            <v>Recoupment Academy</v>
          </cell>
          <cell r="F133">
            <v>137</v>
          </cell>
          <cell r="G133">
            <v>13947.969999999996</v>
          </cell>
          <cell r="H133">
            <v>4341.53</v>
          </cell>
        </row>
        <row r="134">
          <cell r="C134">
            <v>2361</v>
          </cell>
          <cell r="D134" t="str">
            <v>Windmill Hill Primary School</v>
          </cell>
          <cell r="E134" t="str">
            <v>Recoupment Academy</v>
          </cell>
          <cell r="F134">
            <v>315</v>
          </cell>
          <cell r="G134">
            <v>32070.149999999991</v>
          </cell>
          <cell r="H134">
            <v>9982.3499999999985</v>
          </cell>
        </row>
        <row r="135">
          <cell r="C135">
            <v>2043</v>
          </cell>
          <cell r="D135" t="str">
            <v>Wisewood Community Primary School</v>
          </cell>
          <cell r="E135" t="str">
            <v>Recoupment Academy</v>
          </cell>
          <cell r="F135">
            <v>156</v>
          </cell>
          <cell r="G135">
            <v>15882.359999999995</v>
          </cell>
          <cell r="H135">
            <v>4943.6399999999994</v>
          </cell>
        </row>
        <row r="136">
          <cell r="C136">
            <v>2139</v>
          </cell>
          <cell r="D136" t="str">
            <v>Woodhouse West Primary School</v>
          </cell>
          <cell r="E136" t="str">
            <v>Recoupment Academy</v>
          </cell>
          <cell r="F136">
            <v>360</v>
          </cell>
          <cell r="G136">
            <v>36651.599999999991</v>
          </cell>
          <cell r="H136">
            <v>11408.4</v>
          </cell>
        </row>
        <row r="137">
          <cell r="C137">
            <v>2034</v>
          </cell>
          <cell r="D137" t="str">
            <v>Woodlands Primary School</v>
          </cell>
          <cell r="E137" t="str">
            <v>Recoupment Academy</v>
          </cell>
          <cell r="F137">
            <v>395</v>
          </cell>
          <cell r="G137">
            <v>40214.94999999999</v>
          </cell>
          <cell r="H137">
            <v>12517.55</v>
          </cell>
        </row>
        <row r="138">
          <cell r="C138">
            <v>2324</v>
          </cell>
          <cell r="D138" t="str">
            <v>Woodseats Primary School</v>
          </cell>
          <cell r="E138" t="str">
            <v>Recoupment Academy</v>
          </cell>
          <cell r="F138">
            <v>363</v>
          </cell>
          <cell r="G138">
            <v>36957.029999999992</v>
          </cell>
          <cell r="H138">
            <v>11503.47</v>
          </cell>
        </row>
        <row r="139">
          <cell r="C139">
            <v>2327</v>
          </cell>
          <cell r="D139" t="str">
            <v>Woodthorpe Primary School</v>
          </cell>
          <cell r="E139" t="str">
            <v>Recoupment Academy</v>
          </cell>
          <cell r="F139">
            <v>406</v>
          </cell>
          <cell r="G139">
            <v>41334.859999999986</v>
          </cell>
          <cell r="H139">
            <v>12866.14</v>
          </cell>
        </row>
        <row r="140">
          <cell r="C140">
            <v>2321</v>
          </cell>
          <cell r="D140" t="str">
            <v>Wybourn Community Primary &amp; Nursery School</v>
          </cell>
          <cell r="E140" t="str">
            <v>Recoupment Academy</v>
          </cell>
          <cell r="F140">
            <v>424</v>
          </cell>
          <cell r="G140">
            <v>43167.439999999988</v>
          </cell>
          <cell r="H140">
            <v>13436.56</v>
          </cell>
        </row>
        <row r="142">
          <cell r="D142">
            <v>0</v>
          </cell>
          <cell r="F142">
            <v>43411</v>
          </cell>
          <cell r="G142">
            <v>4419673.9100000011</v>
          </cell>
          <cell r="H142">
            <v>1375694.5899999996</v>
          </cell>
        </row>
        <row r="143">
          <cell r="F143">
            <v>0</v>
          </cell>
        </row>
        <row r="144">
          <cell r="D144">
            <v>0</v>
          </cell>
          <cell r="G144">
            <v>68.41</v>
          </cell>
          <cell r="H144">
            <v>26.689999999999998</v>
          </cell>
        </row>
        <row r="145">
          <cell r="C145">
            <v>5401</v>
          </cell>
          <cell r="D145" t="str">
            <v>All Saints' Catholic High School</v>
          </cell>
          <cell r="E145" t="str">
            <v>Recoupment Academy</v>
          </cell>
          <cell r="F145">
            <v>1034</v>
          </cell>
          <cell r="G145">
            <v>70735.94</v>
          </cell>
          <cell r="H145">
            <v>27597.46</v>
          </cell>
        </row>
        <row r="146">
          <cell r="C146">
            <v>4017</v>
          </cell>
          <cell r="D146" t="str">
            <v>Bradfield School</v>
          </cell>
          <cell r="E146" t="str">
            <v>Recoupment Academy</v>
          </cell>
          <cell r="F146">
            <v>1065</v>
          </cell>
          <cell r="G146">
            <v>72856.649999999994</v>
          </cell>
          <cell r="H146">
            <v>28424.85</v>
          </cell>
        </row>
        <row r="147">
          <cell r="C147">
            <v>4000</v>
          </cell>
          <cell r="D147" t="str">
            <v>Chaucer School</v>
          </cell>
          <cell r="E147" t="str">
            <v>Recoupment Academy</v>
          </cell>
          <cell r="F147">
            <v>842</v>
          </cell>
          <cell r="G147">
            <v>57601.219999999994</v>
          </cell>
          <cell r="H147">
            <v>22472.98</v>
          </cell>
        </row>
        <row r="148">
          <cell r="C148">
            <v>4012</v>
          </cell>
          <cell r="D148" t="str">
            <v>Ecclesfield School</v>
          </cell>
          <cell r="E148" t="str">
            <v>Recoupment Academy</v>
          </cell>
          <cell r="F148">
            <v>1701</v>
          </cell>
          <cell r="G148">
            <v>116365.40999999999</v>
          </cell>
          <cell r="H148">
            <v>45399.689999999995</v>
          </cell>
        </row>
        <row r="149">
          <cell r="C149">
            <v>4280</v>
          </cell>
          <cell r="D149" t="str">
            <v>Fir Vale School</v>
          </cell>
          <cell r="E149" t="str">
            <v>Recoupment Academy</v>
          </cell>
          <cell r="F149">
            <v>1025</v>
          </cell>
          <cell r="G149">
            <v>70120.25</v>
          </cell>
          <cell r="H149">
            <v>27357.249999999996</v>
          </cell>
        </row>
        <row r="150">
          <cell r="C150">
            <v>4003</v>
          </cell>
          <cell r="D150" t="str">
            <v>Firth Park Academy</v>
          </cell>
          <cell r="E150" t="str">
            <v>Recoupment Academy</v>
          </cell>
          <cell r="F150">
            <v>1166</v>
          </cell>
          <cell r="G150">
            <v>79766.06</v>
          </cell>
          <cell r="H150">
            <v>31120.539999999997</v>
          </cell>
        </row>
        <row r="151">
          <cell r="C151">
            <v>4007</v>
          </cell>
          <cell r="D151" t="str">
            <v>Forge Valley School</v>
          </cell>
          <cell r="E151" t="str">
            <v>Recoupment Academy</v>
          </cell>
          <cell r="F151">
            <v>1243</v>
          </cell>
          <cell r="G151">
            <v>85033.62999999999</v>
          </cell>
          <cell r="H151">
            <v>33175.67</v>
          </cell>
        </row>
        <row r="152">
          <cell r="C152">
            <v>4278</v>
          </cell>
          <cell r="D152" t="str">
            <v>Handsworth Grange Community Sports College</v>
          </cell>
          <cell r="E152" t="str">
            <v>Recoupment Academy</v>
          </cell>
          <cell r="F152">
            <v>1015</v>
          </cell>
          <cell r="G152">
            <v>69436.149999999994</v>
          </cell>
          <cell r="H152">
            <v>27090.35</v>
          </cell>
        </row>
        <row r="153">
          <cell r="C153">
            <v>4257</v>
          </cell>
          <cell r="D153" t="str">
            <v>High Storrs School</v>
          </cell>
          <cell r="E153" t="str">
            <v>Recoupment Academy</v>
          </cell>
          <cell r="F153">
            <v>1214</v>
          </cell>
          <cell r="G153">
            <v>83049.739999999991</v>
          </cell>
          <cell r="H153">
            <v>32401.659999999996</v>
          </cell>
        </row>
        <row r="154">
          <cell r="C154">
            <v>4230</v>
          </cell>
          <cell r="D154" t="str">
            <v>King Ecgbert School</v>
          </cell>
          <cell r="E154" t="str">
            <v>Recoupment Academy</v>
          </cell>
          <cell r="F154">
            <v>1030</v>
          </cell>
          <cell r="G154">
            <v>70462.3</v>
          </cell>
          <cell r="H154">
            <v>27490.699999999997</v>
          </cell>
        </row>
        <row r="155">
          <cell r="C155">
            <v>4259</v>
          </cell>
          <cell r="D155" t="str">
            <v>King Edward VII School</v>
          </cell>
          <cell r="E155">
            <v>0</v>
          </cell>
          <cell r="F155">
            <v>1141</v>
          </cell>
          <cell r="G155">
            <v>78055.81</v>
          </cell>
          <cell r="H155">
            <v>30453.289999999997</v>
          </cell>
        </row>
        <row r="156">
          <cell r="C156">
            <v>4279</v>
          </cell>
          <cell r="D156" t="str">
            <v>Meadowhead School Academy Trust</v>
          </cell>
          <cell r="E156" t="str">
            <v>Recoupment Academy</v>
          </cell>
          <cell r="F156">
            <v>1640</v>
          </cell>
          <cell r="G156">
            <v>112192.4</v>
          </cell>
          <cell r="H156">
            <v>43771.6</v>
          </cell>
        </row>
        <row r="157">
          <cell r="C157">
            <v>4015</v>
          </cell>
          <cell r="D157" t="str">
            <v>Mercia School</v>
          </cell>
          <cell r="E157" t="str">
            <v>Recoupment Academy</v>
          </cell>
          <cell r="F157">
            <v>786</v>
          </cell>
          <cell r="G157">
            <v>53770.259999999995</v>
          </cell>
          <cell r="H157">
            <v>20978.339999999997</v>
          </cell>
        </row>
        <row r="158">
          <cell r="C158">
            <v>4008</v>
          </cell>
          <cell r="D158" t="str">
            <v>Newfield Secondary School</v>
          </cell>
          <cell r="E158" t="str">
            <v>Recoupment Academy</v>
          </cell>
          <cell r="F158">
            <v>1055</v>
          </cell>
          <cell r="G158">
            <v>72172.55</v>
          </cell>
          <cell r="H158">
            <v>28157.949999999997</v>
          </cell>
        </row>
        <row r="159">
          <cell r="C159">
            <v>5400</v>
          </cell>
          <cell r="D159" t="str">
            <v>Notre Dame High School</v>
          </cell>
          <cell r="E159" t="str">
            <v>Recoupment Academy</v>
          </cell>
          <cell r="F159">
            <v>1067</v>
          </cell>
          <cell r="G159">
            <v>72993.47</v>
          </cell>
          <cell r="H159">
            <v>28478.229999999996</v>
          </cell>
        </row>
        <row r="160">
          <cell r="C160">
            <v>4006</v>
          </cell>
          <cell r="D160" t="str">
            <v>Outwood Academy City</v>
          </cell>
          <cell r="E160" t="str">
            <v>Recoupment Academy</v>
          </cell>
          <cell r="F160">
            <v>1126</v>
          </cell>
          <cell r="G160">
            <v>77029.659999999989</v>
          </cell>
          <cell r="H160">
            <v>30052.94</v>
          </cell>
        </row>
        <row r="161">
          <cell r="C161">
            <v>6907</v>
          </cell>
          <cell r="D161" t="str">
            <v>Parkwood E-ACT Academy</v>
          </cell>
          <cell r="E161" t="str">
            <v>Recoupment Academy</v>
          </cell>
          <cell r="F161">
            <v>793</v>
          </cell>
          <cell r="G161">
            <v>54249.13</v>
          </cell>
          <cell r="H161">
            <v>21165.17</v>
          </cell>
        </row>
        <row r="162">
          <cell r="C162">
            <v>6905</v>
          </cell>
          <cell r="D162" t="str">
            <v>Sheffield Park Academy</v>
          </cell>
          <cell r="E162" t="str">
            <v>Recoupment Academy</v>
          </cell>
          <cell r="F162">
            <v>1029</v>
          </cell>
          <cell r="G162">
            <v>70393.89</v>
          </cell>
          <cell r="H162">
            <v>27464.01</v>
          </cell>
        </row>
        <row r="163">
          <cell r="C163">
            <v>6906</v>
          </cell>
          <cell r="D163" t="str">
            <v>Sheffield Springs Academy</v>
          </cell>
          <cell r="E163" t="str">
            <v>Recoupment Academy</v>
          </cell>
          <cell r="F163">
            <v>981</v>
          </cell>
          <cell r="G163">
            <v>67110.209999999992</v>
          </cell>
          <cell r="H163">
            <v>26182.89</v>
          </cell>
        </row>
        <row r="164">
          <cell r="C164">
            <v>4229</v>
          </cell>
          <cell r="D164" t="str">
            <v>Silverdale School</v>
          </cell>
          <cell r="E164" t="str">
            <v>Recoupment Academy</v>
          </cell>
          <cell r="F164">
            <v>1021</v>
          </cell>
          <cell r="G164">
            <v>69846.61</v>
          </cell>
          <cell r="H164">
            <v>27250.489999999998</v>
          </cell>
        </row>
        <row r="165">
          <cell r="C165">
            <v>4271</v>
          </cell>
          <cell r="D165" t="str">
            <v>Stocksbridge High School</v>
          </cell>
          <cell r="E165" t="str">
            <v>Recoupment Academy</v>
          </cell>
          <cell r="F165">
            <v>793</v>
          </cell>
          <cell r="G165">
            <v>54249.13</v>
          </cell>
          <cell r="H165">
            <v>21165.17</v>
          </cell>
        </row>
        <row r="166">
          <cell r="C166">
            <v>4234</v>
          </cell>
          <cell r="D166" t="str">
            <v>Tapton School</v>
          </cell>
          <cell r="E166" t="str">
            <v>Recoupment Academy</v>
          </cell>
          <cell r="F166">
            <v>1357</v>
          </cell>
          <cell r="G166">
            <v>92832.37</v>
          </cell>
          <cell r="H166">
            <v>36218.329999999994</v>
          </cell>
        </row>
        <row r="167">
          <cell r="C167">
            <v>4276</v>
          </cell>
          <cell r="D167" t="str">
            <v>The Birley Academy</v>
          </cell>
          <cell r="E167" t="str">
            <v>Recoupment Academy</v>
          </cell>
          <cell r="F167">
            <v>1076</v>
          </cell>
          <cell r="G167">
            <v>73609.16</v>
          </cell>
          <cell r="H167">
            <v>28718.44</v>
          </cell>
        </row>
        <row r="168">
          <cell r="C168">
            <v>4004</v>
          </cell>
          <cell r="D168" t="str">
            <v>UTC Sheffield City Centre</v>
          </cell>
          <cell r="E168" t="str">
            <v>Recoupment Academy</v>
          </cell>
          <cell r="F168">
            <v>312</v>
          </cell>
          <cell r="G168">
            <v>21343.919999999998</v>
          </cell>
          <cell r="H168">
            <v>8327.2799999999988</v>
          </cell>
        </row>
        <row r="169">
          <cell r="C169">
            <v>4010</v>
          </cell>
          <cell r="D169" t="str">
            <v>UTC Sheffield Olympic Legacy Park</v>
          </cell>
          <cell r="E169" t="str">
            <v>Recoupment Academy</v>
          </cell>
          <cell r="F169">
            <v>301</v>
          </cell>
          <cell r="G169">
            <v>20591.41</v>
          </cell>
          <cell r="H169">
            <v>8033.69</v>
          </cell>
        </row>
        <row r="170">
          <cell r="C170">
            <v>4013</v>
          </cell>
          <cell r="D170" t="str">
            <v>Westfield School</v>
          </cell>
          <cell r="E170" t="str">
            <v>Recoupment Academy</v>
          </cell>
          <cell r="F170">
            <v>1245</v>
          </cell>
          <cell r="G170">
            <v>85170.45</v>
          </cell>
          <cell r="H170">
            <v>33229.049999999996</v>
          </cell>
        </row>
        <row r="171">
          <cell r="C171">
            <v>4016</v>
          </cell>
          <cell r="D171" t="str">
            <v>Yewlands Academy</v>
          </cell>
          <cell r="E171" t="str">
            <v>Recoupment Academy</v>
          </cell>
          <cell r="F171">
            <v>901</v>
          </cell>
          <cell r="G171">
            <v>61637.409999999996</v>
          </cell>
          <cell r="H171">
            <v>24047.69</v>
          </cell>
        </row>
        <row r="173">
          <cell r="D173" t="str">
            <v>Total Secondary</v>
          </cell>
          <cell r="F173">
            <v>27959</v>
          </cell>
          <cell r="G173">
            <v>1912675.189999999</v>
          </cell>
          <cell r="H173">
            <v>746225.70999999985</v>
          </cell>
        </row>
        <row r="174">
          <cell r="F174">
            <v>0</v>
          </cell>
        </row>
        <row r="175">
          <cell r="D175" t="str">
            <v>Middle Deemed Secondary</v>
          </cell>
        </row>
        <row r="177">
          <cell r="C177">
            <v>4014</v>
          </cell>
          <cell r="D177" t="str">
            <v>Astrea Academy Sheffield</v>
          </cell>
          <cell r="E177" t="str">
            <v>Recoupment Academy</v>
          </cell>
          <cell r="F177">
            <v>979</v>
          </cell>
          <cell r="G177">
            <v>75089.59</v>
          </cell>
          <cell r="H177">
            <v>27344.509999999995</v>
          </cell>
        </row>
        <row r="178">
          <cell r="C178">
            <v>4225</v>
          </cell>
          <cell r="D178" t="str">
            <v>Hinde House 2-16 School</v>
          </cell>
          <cell r="E178" t="str">
            <v>Recoupment Academy</v>
          </cell>
          <cell r="F178">
            <v>1322</v>
          </cell>
          <cell r="G178">
            <v>104432.62</v>
          </cell>
          <cell r="H178">
            <v>37379.18</v>
          </cell>
        </row>
        <row r="179">
          <cell r="C179">
            <v>4005</v>
          </cell>
          <cell r="D179" t="str">
            <v>Oasis Academy Don Valley</v>
          </cell>
          <cell r="E179" t="str">
            <v>Recoupment Academy</v>
          </cell>
          <cell r="F179">
            <v>1061</v>
          </cell>
          <cell r="G179">
            <v>86410.609999999986</v>
          </cell>
          <cell r="H179">
            <v>30388.09</v>
          </cell>
        </row>
        <row r="181">
          <cell r="F181">
            <v>3362</v>
          </cell>
          <cell r="G181">
            <v>265932.81999999995</v>
          </cell>
          <cell r="H181">
            <v>95111.78</v>
          </cell>
        </row>
        <row r="183">
          <cell r="D183" t="str">
            <v>Total Middle Deemed Secondary</v>
          </cell>
          <cell r="F183">
            <v>74732</v>
          </cell>
          <cell r="G183">
            <v>6598281.9199999999</v>
          </cell>
          <cell r="H183">
            <v>2217032.0799999996</v>
          </cell>
        </row>
        <row r="184">
          <cell r="F184">
            <v>0</v>
          </cell>
          <cell r="G184">
            <v>0</v>
          </cell>
          <cell r="H184">
            <v>0</v>
          </cell>
        </row>
        <row r="185">
          <cell r="D185" t="str">
            <v>Total All Schools</v>
          </cell>
        </row>
        <row r="187">
          <cell r="C187">
            <v>4998</v>
          </cell>
          <cell r="D187" t="str">
            <v>Astrea Academy - Woodside x 7/12</v>
          </cell>
          <cell r="E187" t="str">
            <v>Recoupment Academy</v>
          </cell>
          <cell r="F187">
            <v>243</v>
          </cell>
          <cell r="G187">
            <v>24739.829999999994</v>
          </cell>
          <cell r="H187">
            <v>7700.6699999999992</v>
          </cell>
        </row>
        <row r="188">
          <cell r="C188">
            <v>4998</v>
          </cell>
          <cell r="D188" t="str">
            <v>Astrea Academy - Woodside x 7/12</v>
          </cell>
          <cell r="E188" t="str">
            <v>Recoupment Academy</v>
          </cell>
          <cell r="F188">
            <v>736</v>
          </cell>
          <cell r="G188">
            <v>50349.759999999995</v>
          </cell>
          <cell r="H188">
            <v>19643.839999999997</v>
          </cell>
        </row>
        <row r="189">
          <cell r="F189">
            <v>979</v>
          </cell>
          <cell r="G189">
            <v>75089.59</v>
          </cell>
          <cell r="H189">
            <v>27344.509999999995</v>
          </cell>
        </row>
        <row r="190">
          <cell r="F190">
            <v>0</v>
          </cell>
          <cell r="G190">
            <v>0</v>
          </cell>
          <cell r="H190">
            <v>0</v>
          </cell>
        </row>
        <row r="191">
          <cell r="C191">
            <v>4225</v>
          </cell>
          <cell r="D191" t="str">
            <v>Hinde House - Primary</v>
          </cell>
          <cell r="E191" t="str">
            <v>Recoupment Academy</v>
          </cell>
          <cell r="F191">
            <v>419</v>
          </cell>
          <cell r="G191">
            <v>42658.389999999992</v>
          </cell>
          <cell r="H191">
            <v>13278.109999999999</v>
          </cell>
        </row>
        <row r="192">
          <cell r="C192">
            <v>4225</v>
          </cell>
          <cell r="D192" t="str">
            <v>Hinde House - Secondary</v>
          </cell>
          <cell r="E192" t="str">
            <v>Recoupment Academy</v>
          </cell>
          <cell r="F192">
            <v>903</v>
          </cell>
          <cell r="G192">
            <v>61774.229999999996</v>
          </cell>
          <cell r="H192">
            <v>24101.07</v>
          </cell>
        </row>
        <row r="193">
          <cell r="F193">
            <v>1322</v>
          </cell>
          <cell r="G193">
            <v>104432.62</v>
          </cell>
          <cell r="H193">
            <v>37379.18</v>
          </cell>
        </row>
        <row r="195">
          <cell r="C195">
            <v>4005</v>
          </cell>
          <cell r="D195" t="str">
            <v>Oasis Academy Don Valley</v>
          </cell>
          <cell r="E195" t="str">
            <v>Recoupment Academy</v>
          </cell>
          <cell r="F195">
            <v>414</v>
          </cell>
          <cell r="G195">
            <v>42149.339999999989</v>
          </cell>
          <cell r="H195">
            <v>13119.66</v>
          </cell>
        </row>
        <row r="196">
          <cell r="C196">
            <v>4005</v>
          </cell>
          <cell r="D196" t="str">
            <v>Oasis Academy Don Valley</v>
          </cell>
          <cell r="E196" t="str">
            <v>Recoupment Academy</v>
          </cell>
          <cell r="F196">
            <v>647</v>
          </cell>
          <cell r="G196">
            <v>44261.27</v>
          </cell>
          <cell r="H196">
            <v>17268.43</v>
          </cell>
        </row>
        <row r="197">
          <cell r="F197">
            <v>1061</v>
          </cell>
          <cell r="G197">
            <v>86410.609999999986</v>
          </cell>
          <cell r="H197">
            <v>30388.09</v>
          </cell>
        </row>
        <row r="199">
          <cell r="F199" t="str">
            <v>Special Swimming</v>
          </cell>
          <cell r="G199">
            <v>8.3000000000000007</v>
          </cell>
        </row>
        <row r="200">
          <cell r="D200" t="str">
            <v>Special</v>
          </cell>
          <cell r="E200" t="str">
            <v>Pri Places</v>
          </cell>
          <cell r="G200">
            <v>115.17999999999998</v>
          </cell>
          <cell r="H200">
            <v>22.04</v>
          </cell>
        </row>
        <row r="201">
          <cell r="G201">
            <v>1.0000000000000002</v>
          </cell>
          <cell r="H201">
            <v>0.19135266539329748</v>
          </cell>
        </row>
        <row r="202">
          <cell r="C202">
            <v>7023</v>
          </cell>
          <cell r="D202" t="str">
            <v>Archdale (Norfolk Park) NIJ</v>
          </cell>
          <cell r="E202">
            <v>95</v>
          </cell>
          <cell r="F202">
            <v>95</v>
          </cell>
          <cell r="G202">
            <v>10942.099999999999</v>
          </cell>
          <cell r="H202">
            <v>2093.7999999999997</v>
          </cell>
        </row>
        <row r="203">
          <cell r="C203">
            <v>7038</v>
          </cell>
          <cell r="D203" t="str">
            <v>Becton</v>
          </cell>
          <cell r="E203">
            <v>14</v>
          </cell>
          <cell r="F203">
            <v>65</v>
          </cell>
          <cell r="G203">
            <v>7063.3999999999987</v>
          </cell>
          <cell r="H203">
            <v>1432.6</v>
          </cell>
        </row>
        <row r="204">
          <cell r="D204" t="str">
            <v>Kenwood</v>
          </cell>
          <cell r="F204">
            <v>119.25</v>
          </cell>
          <cell r="G204">
            <v>12745.439999999997</v>
          </cell>
          <cell r="H204">
            <v>2628.27</v>
          </cell>
        </row>
        <row r="205">
          <cell r="C205">
            <v>7010</v>
          </cell>
          <cell r="D205" t="str">
            <v>Bents Green</v>
          </cell>
          <cell r="E205">
            <v>0</v>
          </cell>
          <cell r="F205">
            <v>306</v>
          </cell>
          <cell r="G205">
            <v>32705.279999999995</v>
          </cell>
          <cell r="H205">
            <v>6744.24</v>
          </cell>
        </row>
        <row r="206">
          <cell r="C206">
            <v>7000</v>
          </cell>
          <cell r="D206" t="str">
            <v>Discovery</v>
          </cell>
          <cell r="F206">
            <v>71.666666666666657</v>
          </cell>
          <cell r="G206">
            <v>7659.7333333333308</v>
          </cell>
          <cell r="H206">
            <v>1579.5333333333331</v>
          </cell>
        </row>
        <row r="207">
          <cell r="C207">
            <v>7040</v>
          </cell>
          <cell r="D207" t="str">
            <v>Heritage Park Community</v>
          </cell>
          <cell r="E207">
            <v>0</v>
          </cell>
          <cell r="F207">
            <v>100</v>
          </cell>
          <cell r="G207">
            <v>10687.999999999998</v>
          </cell>
          <cell r="H207">
            <v>2204</v>
          </cell>
        </row>
        <row r="208">
          <cell r="C208">
            <v>7041</v>
          </cell>
          <cell r="D208" t="str">
            <v>Holgate Meadows Community</v>
          </cell>
          <cell r="E208">
            <v>0</v>
          </cell>
          <cell r="F208">
            <v>95</v>
          </cell>
          <cell r="G208">
            <v>10153.599999999999</v>
          </cell>
          <cell r="H208">
            <v>2093.7999999999997</v>
          </cell>
        </row>
        <row r="209">
          <cell r="C209">
            <v>7036</v>
          </cell>
          <cell r="D209" t="str">
            <v>Mossbrook IJ</v>
          </cell>
          <cell r="E209">
            <v>160</v>
          </cell>
          <cell r="F209">
            <v>161</v>
          </cell>
          <cell r="G209">
            <v>18535.679999999997</v>
          </cell>
          <cell r="H209">
            <v>3548.44</v>
          </cell>
        </row>
        <row r="210">
          <cell r="C210">
            <v>7043</v>
          </cell>
          <cell r="D210" t="str">
            <v>Seven Hills</v>
          </cell>
          <cell r="E210">
            <v>0</v>
          </cell>
          <cell r="F210">
            <v>212</v>
          </cell>
          <cell r="G210">
            <v>22658.559999999998</v>
          </cell>
          <cell r="H210">
            <v>4672.4799999999996</v>
          </cell>
        </row>
        <row r="211">
          <cell r="C211">
            <v>7024</v>
          </cell>
          <cell r="D211" t="str">
            <v>Talbot Sec</v>
          </cell>
          <cell r="E211">
            <v>0</v>
          </cell>
          <cell r="F211">
            <v>219</v>
          </cell>
          <cell r="G211">
            <v>23406.719999999998</v>
          </cell>
          <cell r="H211">
            <v>4826.76</v>
          </cell>
        </row>
        <row r="212">
          <cell r="C212">
            <v>7013</v>
          </cell>
          <cell r="D212" t="str">
            <v>The Rowan IJ</v>
          </cell>
          <cell r="E212">
            <v>98</v>
          </cell>
          <cell r="F212">
            <v>98</v>
          </cell>
          <cell r="G212">
            <v>11287.639999999998</v>
          </cell>
          <cell r="H212">
            <v>2159.92</v>
          </cell>
        </row>
        <row r="213">
          <cell r="C213">
            <v>7026</v>
          </cell>
          <cell r="D213" t="str">
            <v>Woolley  Wood NIJ</v>
          </cell>
          <cell r="E213">
            <v>103</v>
          </cell>
          <cell r="F213">
            <v>103</v>
          </cell>
          <cell r="G213">
            <v>11863.539999999997</v>
          </cell>
          <cell r="H213">
            <v>2270.12</v>
          </cell>
        </row>
        <row r="215">
          <cell r="D215" t="str">
            <v>Total Special</v>
          </cell>
          <cell r="E215">
            <v>470</v>
          </cell>
          <cell r="F215">
            <v>1644.9166666666665</v>
          </cell>
          <cell r="G215">
            <v>179709.6933333333</v>
          </cell>
          <cell r="H215">
            <v>36253.963333333333</v>
          </cell>
        </row>
        <row r="216">
          <cell r="F216">
            <v>0</v>
          </cell>
          <cell r="G216">
            <v>0</v>
          </cell>
          <cell r="H216">
            <v>0</v>
          </cell>
        </row>
        <row r="217">
          <cell r="D217" t="str">
            <v>TOTAL ALL SCHOOLS</v>
          </cell>
          <cell r="F217">
            <v>76376.916666666672</v>
          </cell>
          <cell r="G217">
            <v>6777991.6133333333</v>
          </cell>
          <cell r="H217">
            <v>2253286.043333333</v>
          </cell>
        </row>
        <row r="218">
          <cell r="G218">
            <v>0</v>
          </cell>
        </row>
        <row r="220">
          <cell r="G220" t="str">
            <v>Add Deleg</v>
          </cell>
          <cell r="H220" t="str">
            <v>De-deleg</v>
          </cell>
        </row>
        <row r="221">
          <cell r="D221" t="str">
            <v>Maintained</v>
          </cell>
          <cell r="E221">
            <v>0</v>
          </cell>
          <cell r="F221">
            <v>22598</v>
          </cell>
          <cell r="G221">
            <v>2273420.0099999998</v>
          </cell>
          <cell r="H221">
            <v>697021.76999999967</v>
          </cell>
        </row>
        <row r="222">
          <cell r="D222" t="str">
            <v>Academies</v>
          </cell>
          <cell r="F222">
            <v>53778.916666666664</v>
          </cell>
          <cell r="G222">
            <v>4504571.6033333335</v>
          </cell>
          <cell r="H222">
            <v>1556264.2733333334</v>
          </cell>
        </row>
        <row r="223">
          <cell r="D223" t="str">
            <v>Total</v>
          </cell>
          <cell r="F223">
            <v>76376.916666666657</v>
          </cell>
          <cell r="G223">
            <v>6777991.6133333333</v>
          </cell>
          <cell r="H223">
            <v>2253286.043333333</v>
          </cell>
        </row>
        <row r="229">
          <cell r="D229" t="str">
            <v>Primary</v>
          </cell>
          <cell r="F229">
            <v>44487</v>
          </cell>
          <cell r="G229">
            <v>4529221.4700000007</v>
          </cell>
          <cell r="H229">
            <v>1409793.0299999996</v>
          </cell>
        </row>
        <row r="230">
          <cell r="D230" t="str">
            <v>Secondary</v>
          </cell>
          <cell r="F230">
            <v>30245</v>
          </cell>
          <cell r="G230">
            <v>2069060.449999999</v>
          </cell>
          <cell r="H230">
            <v>807239.04999999981</v>
          </cell>
        </row>
        <row r="231">
          <cell r="D231" t="str">
            <v>Special</v>
          </cell>
          <cell r="F231">
            <v>1644.9166666666665</v>
          </cell>
          <cell r="G231">
            <v>179709.6933333333</v>
          </cell>
          <cell r="H231">
            <v>36253.963333333333</v>
          </cell>
        </row>
        <row r="232">
          <cell r="F232">
            <v>76376.916666666672</v>
          </cell>
          <cell r="G232">
            <v>6777991.6133333333</v>
          </cell>
          <cell r="H232">
            <v>2253286.0433333325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4">
          <cell r="D234" t="str">
            <v>Primary</v>
          </cell>
        </row>
        <row r="235">
          <cell r="D235" t="str">
            <v>Maintained</v>
          </cell>
          <cell r="F235">
            <v>20068</v>
          </cell>
          <cell r="G235">
            <v>2043123.0799999994</v>
          </cell>
          <cell r="H235">
            <v>635954.91999999958</v>
          </cell>
        </row>
        <row r="236">
          <cell r="D236" t="str">
            <v>Academies</v>
          </cell>
          <cell r="F236">
            <v>24419</v>
          </cell>
          <cell r="G236">
            <v>2486098.3899999997</v>
          </cell>
          <cell r="H236">
            <v>773838.11000000022</v>
          </cell>
        </row>
        <row r="237">
          <cell r="D237" t="str">
            <v>Total</v>
          </cell>
          <cell r="F237">
            <v>44487</v>
          </cell>
          <cell r="G237">
            <v>4529221.4699999988</v>
          </cell>
          <cell r="H237">
            <v>1409793.0299999998</v>
          </cell>
        </row>
        <row r="238">
          <cell r="F238">
            <v>0</v>
          </cell>
          <cell r="G238">
            <v>-2.2409949451684952E-9</v>
          </cell>
          <cell r="H238">
            <v>1.7826096154749393E-10</v>
          </cell>
        </row>
        <row r="239">
          <cell r="D239" t="str">
            <v>Secondary</v>
          </cell>
        </row>
        <row r="240">
          <cell r="D240" t="str">
            <v>Maintained</v>
          </cell>
          <cell r="F240">
            <v>1141</v>
          </cell>
          <cell r="G240">
            <v>78055.81</v>
          </cell>
          <cell r="H240">
            <v>30453.289999999997</v>
          </cell>
        </row>
        <row r="241">
          <cell r="D241" t="str">
            <v>Academies</v>
          </cell>
          <cell r="F241">
            <v>29104</v>
          </cell>
          <cell r="G241">
            <v>1991004.6399999994</v>
          </cell>
          <cell r="H241">
            <v>776785.75999999978</v>
          </cell>
        </row>
        <row r="242">
          <cell r="D242" t="str">
            <v>Total</v>
          </cell>
          <cell r="F242">
            <v>30245</v>
          </cell>
          <cell r="G242">
            <v>2069060.4499999995</v>
          </cell>
          <cell r="H242">
            <v>807239.04999999981</v>
          </cell>
        </row>
        <row r="243">
          <cell r="F243">
            <v>0</v>
          </cell>
          <cell r="G243">
            <v>4.8748916015028954E-10</v>
          </cell>
          <cell r="H243">
            <v>-2.9103830456733704E-11</v>
          </cell>
        </row>
        <row r="245">
          <cell r="D245" t="str">
            <v>Primary</v>
          </cell>
        </row>
        <row r="246">
          <cell r="D246" t="str">
            <v>Maintained</v>
          </cell>
          <cell r="F246">
            <v>20068</v>
          </cell>
          <cell r="G246">
            <v>2043123.0799999994</v>
          </cell>
          <cell r="H246">
            <v>635954.91999999958</v>
          </cell>
        </row>
        <row r="247">
          <cell r="D247" t="str">
            <v>Academies</v>
          </cell>
          <cell r="F247">
            <v>24419</v>
          </cell>
          <cell r="G247">
            <v>2486098.3899999997</v>
          </cell>
          <cell r="H247">
            <v>773838.11000000022</v>
          </cell>
        </row>
        <row r="248">
          <cell r="D248" t="str">
            <v>Total</v>
          </cell>
          <cell r="F248">
            <v>44487</v>
          </cell>
          <cell r="G248">
            <v>4529221.4699999988</v>
          </cell>
          <cell r="H248">
            <v>1409793.0299999998</v>
          </cell>
        </row>
        <row r="249">
          <cell r="F249">
            <v>0</v>
          </cell>
          <cell r="G249">
            <v>-2.2409949451684952E-9</v>
          </cell>
          <cell r="H249">
            <v>1.7826096154749393E-10</v>
          </cell>
        </row>
        <row r="250">
          <cell r="D250" t="str">
            <v>Secondary</v>
          </cell>
        </row>
        <row r="251">
          <cell r="D251" t="str">
            <v>Maintained</v>
          </cell>
          <cell r="F251">
            <v>1141</v>
          </cell>
          <cell r="G251">
            <v>78055.81</v>
          </cell>
          <cell r="H251">
            <v>30453.289999999997</v>
          </cell>
        </row>
        <row r="252">
          <cell r="D252" t="str">
            <v>Academies</v>
          </cell>
          <cell r="F252">
            <v>29104</v>
          </cell>
          <cell r="G252">
            <v>1991004.6399999994</v>
          </cell>
          <cell r="H252">
            <v>776785.75999999978</v>
          </cell>
        </row>
        <row r="253">
          <cell r="D253" t="str">
            <v>Total</v>
          </cell>
          <cell r="F253">
            <v>30245</v>
          </cell>
          <cell r="G253">
            <v>2069060.4499999995</v>
          </cell>
          <cell r="H253">
            <v>807239.04999999981</v>
          </cell>
        </row>
        <row r="255">
          <cell r="D255" t="str">
            <v>Total All Schools Excl. Special</v>
          </cell>
          <cell r="F255">
            <v>74732</v>
          </cell>
          <cell r="G255">
            <v>6598281.9199999981</v>
          </cell>
          <cell r="H255">
            <v>2217032.0799999996</v>
          </cell>
        </row>
        <row r="256">
          <cell r="F256">
            <v>74732</v>
          </cell>
          <cell r="G256">
            <v>6598281.9199999999</v>
          </cell>
          <cell r="H256">
            <v>2217032.0799999996</v>
          </cell>
        </row>
        <row r="257">
          <cell r="G257">
            <v>0</v>
          </cell>
          <cell r="H257">
            <v>0</v>
          </cell>
        </row>
        <row r="258">
          <cell r="D258" t="str">
            <v>Maintained</v>
          </cell>
          <cell r="F258">
            <v>22598</v>
          </cell>
          <cell r="G258">
            <v>2273420.0099999998</v>
          </cell>
          <cell r="H258">
            <v>697021.76999999967</v>
          </cell>
        </row>
        <row r="259">
          <cell r="D259" t="str">
            <v>Academies</v>
          </cell>
          <cell r="F259">
            <v>53778.916666666664</v>
          </cell>
          <cell r="G259">
            <v>4504571.6033333335</v>
          </cell>
          <cell r="H259">
            <v>1556264.2733333334</v>
          </cell>
        </row>
        <row r="260">
          <cell r="D260" t="str">
            <v>Total</v>
          </cell>
          <cell r="F260">
            <v>76376.916666666657</v>
          </cell>
          <cell r="G260">
            <v>6777991.6133333333</v>
          </cell>
          <cell r="H260">
            <v>2253286.043333333</v>
          </cell>
        </row>
        <row r="261">
          <cell r="F261">
            <v>0</v>
          </cell>
          <cell r="G261">
            <v>0</v>
          </cell>
          <cell r="H261">
            <v>0</v>
          </cell>
        </row>
        <row r="263">
          <cell r="H263">
            <v>660767.80666666629</v>
          </cell>
        </row>
      </sheetData>
      <sheetData sheetId="15"/>
      <sheetData sheetId="16"/>
      <sheetData sheetId="17"/>
      <sheetData sheetId="18">
        <row r="1">
          <cell r="F1" t="str">
            <v>Secondary AWPU Funding</v>
          </cell>
          <cell r="G1" t="str">
            <v>2023-24</v>
          </cell>
        </row>
        <row r="3">
          <cell r="K3" t="str">
            <v>KS3</v>
          </cell>
          <cell r="L3" t="str">
            <v>KS4</v>
          </cell>
        </row>
        <row r="4">
          <cell r="E4" t="str">
            <v>DfE</v>
          </cell>
          <cell r="F4" t="str">
            <v>School</v>
          </cell>
          <cell r="G4" t="str">
            <v>KS3</v>
          </cell>
          <cell r="H4" t="str">
            <v>KS4</v>
          </cell>
          <cell r="I4" t="str">
            <v>Total</v>
          </cell>
          <cell r="J4" t="str">
            <v>check</v>
          </cell>
          <cell r="K4">
            <v>4785</v>
          </cell>
          <cell r="L4">
            <v>5393</v>
          </cell>
        </row>
        <row r="7">
          <cell r="E7">
            <v>5401</v>
          </cell>
          <cell r="F7" t="str">
            <v>All Saints' Catholic High School</v>
          </cell>
          <cell r="G7">
            <v>621</v>
          </cell>
          <cell r="H7">
            <v>413</v>
          </cell>
          <cell r="I7">
            <v>1034</v>
          </cell>
          <cell r="J7">
            <v>0</v>
          </cell>
          <cell r="K7">
            <v>2971485</v>
          </cell>
          <cell r="L7">
            <v>2227309</v>
          </cell>
        </row>
        <row r="8">
          <cell r="E8">
            <v>4017</v>
          </cell>
          <cell r="F8" t="str">
            <v>Bradfield School</v>
          </cell>
          <cell r="G8">
            <v>638</v>
          </cell>
          <cell r="H8">
            <v>427</v>
          </cell>
          <cell r="I8">
            <v>1065</v>
          </cell>
          <cell r="J8">
            <v>0</v>
          </cell>
          <cell r="K8">
            <v>3052830</v>
          </cell>
          <cell r="L8">
            <v>2302811</v>
          </cell>
        </row>
        <row r="9">
          <cell r="E9">
            <v>4000</v>
          </cell>
          <cell r="F9" t="str">
            <v>Chaucer School</v>
          </cell>
          <cell r="G9">
            <v>510</v>
          </cell>
          <cell r="H9">
            <v>332</v>
          </cell>
          <cell r="I9">
            <v>842</v>
          </cell>
          <cell r="J9">
            <v>0</v>
          </cell>
          <cell r="K9">
            <v>2440350</v>
          </cell>
          <cell r="L9">
            <v>1790476</v>
          </cell>
        </row>
        <row r="10">
          <cell r="E10">
            <v>4012</v>
          </cell>
          <cell r="F10" t="str">
            <v>Ecclesfield School</v>
          </cell>
          <cell r="G10">
            <v>1046</v>
          </cell>
          <cell r="H10">
            <v>655</v>
          </cell>
          <cell r="I10">
            <v>1701</v>
          </cell>
          <cell r="J10">
            <v>0</v>
          </cell>
          <cell r="K10">
            <v>5005110</v>
          </cell>
          <cell r="L10">
            <v>3532415</v>
          </cell>
        </row>
        <row r="11">
          <cell r="E11">
            <v>4280</v>
          </cell>
          <cell r="F11" t="str">
            <v>Fir Vale School</v>
          </cell>
          <cell r="G11">
            <v>623</v>
          </cell>
          <cell r="H11">
            <v>402</v>
          </cell>
          <cell r="I11">
            <v>1025</v>
          </cell>
          <cell r="J11">
            <v>0</v>
          </cell>
          <cell r="K11">
            <v>2981055</v>
          </cell>
          <cell r="L11">
            <v>2167986</v>
          </cell>
        </row>
        <row r="12">
          <cell r="E12">
            <v>4003</v>
          </cell>
          <cell r="F12" t="str">
            <v>Firth Park Academy</v>
          </cell>
          <cell r="G12">
            <v>727</v>
          </cell>
          <cell r="H12">
            <v>439</v>
          </cell>
          <cell r="I12">
            <v>1166</v>
          </cell>
          <cell r="J12">
            <v>0</v>
          </cell>
          <cell r="K12">
            <v>3478695</v>
          </cell>
          <cell r="L12">
            <v>2367527</v>
          </cell>
        </row>
        <row r="13">
          <cell r="E13">
            <v>4007</v>
          </cell>
          <cell r="F13" t="str">
            <v>Forge Valley School</v>
          </cell>
          <cell r="G13">
            <v>770</v>
          </cell>
          <cell r="H13">
            <v>473</v>
          </cell>
          <cell r="I13">
            <v>1243</v>
          </cell>
          <cell r="J13">
            <v>0</v>
          </cell>
          <cell r="K13">
            <v>3684450</v>
          </cell>
          <cell r="L13">
            <v>2550889</v>
          </cell>
        </row>
        <row r="14">
          <cell r="E14">
            <v>4278</v>
          </cell>
          <cell r="F14" t="str">
            <v>Handsworth Grange Community Sports College</v>
          </cell>
          <cell r="G14">
            <v>615</v>
          </cell>
          <cell r="H14">
            <v>400</v>
          </cell>
          <cell r="I14">
            <v>1015</v>
          </cell>
          <cell r="J14">
            <v>0</v>
          </cell>
          <cell r="K14">
            <v>2942775</v>
          </cell>
          <cell r="L14">
            <v>2157200</v>
          </cell>
        </row>
        <row r="15">
          <cell r="E15">
            <v>4257</v>
          </cell>
          <cell r="F15" t="str">
            <v>High Storrs School</v>
          </cell>
          <cell r="G15">
            <v>730</v>
          </cell>
          <cell r="H15">
            <v>484</v>
          </cell>
          <cell r="I15">
            <v>1214</v>
          </cell>
          <cell r="J15">
            <v>0</v>
          </cell>
          <cell r="K15">
            <v>3493050</v>
          </cell>
          <cell r="L15">
            <v>2610212</v>
          </cell>
        </row>
        <row r="16">
          <cell r="E16">
            <v>4230</v>
          </cell>
          <cell r="F16" t="str">
            <v>King Ecgbert School</v>
          </cell>
          <cell r="G16">
            <v>623</v>
          </cell>
          <cell r="H16">
            <v>407</v>
          </cell>
          <cell r="I16">
            <v>1030</v>
          </cell>
          <cell r="J16">
            <v>0</v>
          </cell>
          <cell r="K16">
            <v>2981055</v>
          </cell>
          <cell r="L16">
            <v>2194951</v>
          </cell>
        </row>
        <row r="17">
          <cell r="E17">
            <v>4259</v>
          </cell>
          <cell r="F17" t="str">
            <v>King Edward VII School</v>
          </cell>
          <cell r="G17">
            <v>684</v>
          </cell>
          <cell r="H17">
            <v>457</v>
          </cell>
          <cell r="I17">
            <v>1141</v>
          </cell>
          <cell r="J17">
            <v>0</v>
          </cell>
          <cell r="K17">
            <v>3272940</v>
          </cell>
          <cell r="L17">
            <v>2464601</v>
          </cell>
        </row>
        <row r="18">
          <cell r="E18">
            <v>4279</v>
          </cell>
          <cell r="F18" t="str">
            <v>Meadowhead School Academy Trust</v>
          </cell>
          <cell r="G18">
            <v>989</v>
          </cell>
          <cell r="H18">
            <v>651</v>
          </cell>
          <cell r="I18">
            <v>1640</v>
          </cell>
          <cell r="J18">
            <v>0</v>
          </cell>
          <cell r="K18">
            <v>4732365</v>
          </cell>
          <cell r="L18">
            <v>3510843</v>
          </cell>
        </row>
        <row r="19">
          <cell r="E19">
            <v>4015</v>
          </cell>
          <cell r="F19" t="str">
            <v>Mercia School</v>
          </cell>
          <cell r="G19">
            <v>548</v>
          </cell>
          <cell r="H19">
            <v>238</v>
          </cell>
          <cell r="I19">
            <v>786</v>
          </cell>
          <cell r="J19">
            <v>0</v>
          </cell>
          <cell r="K19">
            <v>2622180</v>
          </cell>
          <cell r="L19">
            <v>1283534</v>
          </cell>
        </row>
        <row r="20">
          <cell r="E20">
            <v>4008</v>
          </cell>
          <cell r="F20" t="str">
            <v>Newfield Secondary School</v>
          </cell>
          <cell r="G20">
            <v>647</v>
          </cell>
          <cell r="H20">
            <v>408</v>
          </cell>
          <cell r="I20">
            <v>1055</v>
          </cell>
          <cell r="J20">
            <v>0</v>
          </cell>
          <cell r="K20">
            <v>3095895</v>
          </cell>
          <cell r="L20">
            <v>2200344</v>
          </cell>
        </row>
        <row r="21">
          <cell r="E21">
            <v>5400</v>
          </cell>
          <cell r="F21" t="str">
            <v>Notre Dame High School</v>
          </cell>
          <cell r="G21">
            <v>642</v>
          </cell>
          <cell r="H21">
            <v>425</v>
          </cell>
          <cell r="I21">
            <v>1067</v>
          </cell>
          <cell r="J21">
            <v>0</v>
          </cell>
          <cell r="K21">
            <v>3071970</v>
          </cell>
          <cell r="L21">
            <v>2292025</v>
          </cell>
        </row>
        <row r="22">
          <cell r="E22">
            <v>4006</v>
          </cell>
          <cell r="F22" t="str">
            <v>Outwood Academy City</v>
          </cell>
          <cell r="G22">
            <v>687</v>
          </cell>
          <cell r="H22">
            <v>439</v>
          </cell>
          <cell r="I22">
            <v>1126</v>
          </cell>
          <cell r="J22">
            <v>0</v>
          </cell>
          <cell r="K22">
            <v>3287295</v>
          </cell>
          <cell r="L22">
            <v>2367527</v>
          </cell>
        </row>
        <row r="23">
          <cell r="E23">
            <v>6907</v>
          </cell>
          <cell r="F23" t="str">
            <v>Parkwood E-ACT Academy</v>
          </cell>
          <cell r="G23">
            <v>517</v>
          </cell>
          <cell r="H23">
            <v>276</v>
          </cell>
          <cell r="I23">
            <v>793</v>
          </cell>
          <cell r="J23">
            <v>0</v>
          </cell>
          <cell r="K23">
            <v>2473845</v>
          </cell>
          <cell r="L23">
            <v>1488468</v>
          </cell>
        </row>
        <row r="24">
          <cell r="E24">
            <v>6905</v>
          </cell>
          <cell r="F24" t="str">
            <v>Sheffield Park Academy</v>
          </cell>
          <cell r="G24">
            <v>616</v>
          </cell>
          <cell r="H24">
            <v>413</v>
          </cell>
          <cell r="I24">
            <v>1029</v>
          </cell>
          <cell r="J24">
            <v>0</v>
          </cell>
          <cell r="K24">
            <v>2947560</v>
          </cell>
          <cell r="L24">
            <v>2227309</v>
          </cell>
        </row>
        <row r="25">
          <cell r="E25">
            <v>6906</v>
          </cell>
          <cell r="F25" t="str">
            <v>Sheffield Springs Academy</v>
          </cell>
          <cell r="G25">
            <v>609</v>
          </cell>
          <cell r="H25">
            <v>372</v>
          </cell>
          <cell r="I25">
            <v>981</v>
          </cell>
          <cell r="J25">
            <v>0</v>
          </cell>
          <cell r="K25">
            <v>2914065</v>
          </cell>
          <cell r="L25">
            <v>2006196</v>
          </cell>
        </row>
        <row r="26">
          <cell r="E26">
            <v>4229</v>
          </cell>
          <cell r="F26" t="str">
            <v>Silverdale School</v>
          </cell>
          <cell r="G26">
            <v>550</v>
          </cell>
          <cell r="H26">
            <v>471</v>
          </cell>
          <cell r="I26">
            <v>1021</v>
          </cell>
          <cell r="J26">
            <v>0</v>
          </cell>
          <cell r="K26">
            <v>2631750</v>
          </cell>
          <cell r="L26">
            <v>2540103</v>
          </cell>
        </row>
        <row r="27">
          <cell r="E27">
            <v>4271</v>
          </cell>
          <cell r="F27" t="str">
            <v>Stocksbridge High School</v>
          </cell>
          <cell r="G27">
            <v>457</v>
          </cell>
          <cell r="H27">
            <v>336</v>
          </cell>
          <cell r="I27">
            <v>793</v>
          </cell>
          <cell r="J27">
            <v>0</v>
          </cell>
          <cell r="K27">
            <v>2186745</v>
          </cell>
          <cell r="L27">
            <v>1812048</v>
          </cell>
        </row>
        <row r="28">
          <cell r="E28">
            <v>4234</v>
          </cell>
          <cell r="F28" t="str">
            <v>Tapton School</v>
          </cell>
          <cell r="G28">
            <v>806</v>
          </cell>
          <cell r="H28">
            <v>551</v>
          </cell>
          <cell r="I28">
            <v>1357</v>
          </cell>
          <cell r="J28">
            <v>0</v>
          </cell>
          <cell r="K28">
            <v>3856710</v>
          </cell>
          <cell r="L28">
            <v>2971543</v>
          </cell>
        </row>
        <row r="29">
          <cell r="E29">
            <v>4276</v>
          </cell>
          <cell r="F29" t="str">
            <v>The Birley Academy</v>
          </cell>
          <cell r="G29">
            <v>669</v>
          </cell>
          <cell r="H29">
            <v>407</v>
          </cell>
          <cell r="I29">
            <v>1076</v>
          </cell>
          <cell r="J29">
            <v>0</v>
          </cell>
          <cell r="K29">
            <v>3201165</v>
          </cell>
          <cell r="L29">
            <v>2194951</v>
          </cell>
        </row>
        <row r="30">
          <cell r="E30">
            <v>4004</v>
          </cell>
          <cell r="F30" t="str">
            <v>UTC Sheffield City Centre</v>
          </cell>
          <cell r="G30">
            <v>104</v>
          </cell>
          <cell r="H30">
            <v>208</v>
          </cell>
          <cell r="I30">
            <v>312</v>
          </cell>
          <cell r="J30">
            <v>0</v>
          </cell>
          <cell r="K30">
            <v>497640</v>
          </cell>
          <cell r="L30">
            <v>1121744</v>
          </cell>
        </row>
        <row r="31">
          <cell r="E31">
            <v>4010</v>
          </cell>
          <cell r="F31" t="str">
            <v>UTC Sheffield Olympic Legacy Park</v>
          </cell>
          <cell r="G31">
            <v>100</v>
          </cell>
          <cell r="H31">
            <v>201</v>
          </cell>
          <cell r="I31">
            <v>301</v>
          </cell>
          <cell r="J31">
            <v>0</v>
          </cell>
          <cell r="K31">
            <v>478500</v>
          </cell>
          <cell r="L31">
            <v>1083993</v>
          </cell>
        </row>
        <row r="32">
          <cell r="E32">
            <v>4013</v>
          </cell>
          <cell r="F32" t="str">
            <v>Westfield School</v>
          </cell>
          <cell r="G32">
            <v>770</v>
          </cell>
          <cell r="H32">
            <v>475</v>
          </cell>
          <cell r="I32">
            <v>1245</v>
          </cell>
          <cell r="J32">
            <v>0</v>
          </cell>
          <cell r="K32">
            <v>3684450</v>
          </cell>
          <cell r="L32">
            <v>2561675</v>
          </cell>
        </row>
        <row r="33">
          <cell r="E33">
            <v>4016</v>
          </cell>
          <cell r="F33" t="str">
            <v>Yewlands Academy</v>
          </cell>
          <cell r="G33">
            <v>578</v>
          </cell>
          <cell r="H33">
            <v>323</v>
          </cell>
          <cell r="I33">
            <v>901</v>
          </cell>
          <cell r="J33">
            <v>0</v>
          </cell>
          <cell r="K33">
            <v>2765730</v>
          </cell>
          <cell r="L33">
            <v>1741939</v>
          </cell>
        </row>
        <row r="35">
          <cell r="F35" t="str">
            <v>Total Secondary</v>
          </cell>
          <cell r="G35">
            <v>16876</v>
          </cell>
          <cell r="H35">
            <v>11083</v>
          </cell>
          <cell r="I35">
            <v>27959</v>
          </cell>
          <cell r="J35">
            <v>0</v>
          </cell>
          <cell r="K35">
            <v>80751660</v>
          </cell>
          <cell r="L35">
            <v>59770619</v>
          </cell>
        </row>
        <row r="37">
          <cell r="F37" t="str">
            <v>Middle Deemed Secondary</v>
          </cell>
        </row>
        <row r="39">
          <cell r="E39">
            <v>4014</v>
          </cell>
          <cell r="F39" t="str">
            <v>Astrea Academy Sheffield</v>
          </cell>
          <cell r="G39">
            <v>440</v>
          </cell>
          <cell r="H39">
            <v>296</v>
          </cell>
          <cell r="I39">
            <v>736</v>
          </cell>
          <cell r="J39">
            <v>0</v>
          </cell>
          <cell r="K39">
            <v>2105400</v>
          </cell>
          <cell r="L39">
            <v>1596328</v>
          </cell>
        </row>
        <row r="40">
          <cell r="E40">
            <v>4225</v>
          </cell>
          <cell r="F40" t="str">
            <v>Hinde House 2-16 School</v>
          </cell>
          <cell r="G40">
            <v>578</v>
          </cell>
          <cell r="H40">
            <v>325</v>
          </cell>
          <cell r="I40">
            <v>903</v>
          </cell>
          <cell r="J40">
            <v>0</v>
          </cell>
          <cell r="K40">
            <v>2765730</v>
          </cell>
          <cell r="L40">
            <v>1752725</v>
          </cell>
        </row>
        <row r="41">
          <cell r="E41">
            <v>4005</v>
          </cell>
          <cell r="F41" t="str">
            <v>Oasis Academy Don Valley</v>
          </cell>
          <cell r="G41">
            <v>406</v>
          </cell>
          <cell r="H41">
            <v>241</v>
          </cell>
          <cell r="I41">
            <v>647</v>
          </cell>
          <cell r="J41">
            <v>0</v>
          </cell>
          <cell r="K41">
            <v>1942710</v>
          </cell>
          <cell r="L41">
            <v>1299713</v>
          </cell>
        </row>
        <row r="43">
          <cell r="F43" t="str">
            <v>Total Middle Deemed Secondary</v>
          </cell>
          <cell r="G43">
            <v>1424</v>
          </cell>
          <cell r="H43">
            <v>862</v>
          </cell>
          <cell r="I43">
            <v>2286</v>
          </cell>
          <cell r="J43">
            <v>0</v>
          </cell>
          <cell r="K43">
            <v>6813840</v>
          </cell>
          <cell r="L43">
            <v>4648766</v>
          </cell>
        </row>
        <row r="45">
          <cell r="F45" t="str">
            <v>Total Secondary</v>
          </cell>
          <cell r="G45">
            <v>18300</v>
          </cell>
          <cell r="H45">
            <v>11945</v>
          </cell>
          <cell r="I45">
            <v>30245</v>
          </cell>
          <cell r="J45">
            <v>0</v>
          </cell>
          <cell r="K45">
            <v>87565500</v>
          </cell>
          <cell r="L45">
            <v>64419385</v>
          </cell>
        </row>
        <row r="46">
          <cell r="I46">
            <v>0</v>
          </cell>
          <cell r="K46">
            <v>0</v>
          </cell>
          <cell r="L46">
            <v>0</v>
          </cell>
        </row>
      </sheetData>
      <sheetData sheetId="19"/>
      <sheetData sheetId="20">
        <row r="3">
          <cell r="F3" t="str">
            <v>High Incidence SEN</v>
          </cell>
          <cell r="G3" t="str">
            <v>2023-24</v>
          </cell>
        </row>
        <row r="4">
          <cell r="F4" t="str">
            <v xml:space="preserve">Funding Allocated by Low Prior Attainment </v>
          </cell>
        </row>
        <row r="5">
          <cell r="E5">
            <v>1</v>
          </cell>
          <cell r="F5">
            <v>2</v>
          </cell>
          <cell r="G5">
            <v>3</v>
          </cell>
          <cell r="H5">
            <v>4</v>
          </cell>
          <cell r="I5">
            <v>5</v>
          </cell>
          <cell r="J5">
            <v>6</v>
          </cell>
          <cell r="K5">
            <v>7</v>
          </cell>
          <cell r="N5">
            <v>8</v>
          </cell>
          <cell r="O5">
            <v>9</v>
          </cell>
          <cell r="P5">
            <v>10</v>
          </cell>
          <cell r="Q5">
            <v>11</v>
          </cell>
          <cell r="R5">
            <v>12</v>
          </cell>
          <cell r="S5">
            <v>13</v>
          </cell>
          <cell r="U5">
            <v>14</v>
          </cell>
          <cell r="V5">
            <v>15</v>
          </cell>
          <cell r="W5">
            <v>16</v>
          </cell>
          <cell r="X5">
            <v>17</v>
          </cell>
          <cell r="Z5">
            <v>18</v>
          </cell>
          <cell r="AA5">
            <v>19</v>
          </cell>
        </row>
        <row r="6">
          <cell r="E6" t="str">
            <v>DfE No.</v>
          </cell>
          <cell r="F6" t="str">
            <v>School</v>
          </cell>
          <cell r="G6" t="str">
            <v>Pupils NOR</v>
          </cell>
          <cell r="H6" t="str">
            <v>Recep</v>
          </cell>
          <cell r="I6" t="str">
            <v>NOR Y1-6</v>
          </cell>
          <cell r="N6" t="str">
            <v>check breakdown &lt;&gt; NOR</v>
          </cell>
          <cell r="O6" t="str">
            <v>Orig. Low Attain Y1-6 under new EYSFP %</v>
          </cell>
          <cell r="P6" t="str">
            <v>Low Attain Y1-6 under new EYSFP %</v>
          </cell>
          <cell r="S6" t="str">
            <v>No. of Low Attain Pupils Y1-6</v>
          </cell>
          <cell r="Z6" t="str">
            <v>Low Attaining Pupils</v>
          </cell>
          <cell r="AA6" t="str">
            <v>2023-24 Allocation</v>
          </cell>
        </row>
        <row r="7">
          <cell r="O7">
            <v>1</v>
          </cell>
          <cell r="P7">
            <v>1</v>
          </cell>
          <cell r="AA7" t="str">
            <v>£</v>
          </cell>
        </row>
        <row r="8">
          <cell r="G8">
            <v>6</v>
          </cell>
          <cell r="H8">
            <v>14</v>
          </cell>
          <cell r="I8">
            <v>15</v>
          </cell>
          <cell r="O8">
            <v>45</v>
          </cell>
          <cell r="P8" t="str">
            <v>Weighted</v>
          </cell>
          <cell r="X8" t="str">
            <v>check apt</v>
          </cell>
        </row>
        <row r="9">
          <cell r="E9">
            <v>2001</v>
          </cell>
          <cell r="F9" t="str">
            <v>Abbey Lane Primary School</v>
          </cell>
          <cell r="G9">
            <v>546</v>
          </cell>
          <cell r="H9">
            <v>68</v>
          </cell>
          <cell r="I9">
            <v>478</v>
          </cell>
          <cell r="N9">
            <v>0</v>
          </cell>
          <cell r="O9">
            <v>0.21130636604774511</v>
          </cell>
          <cell r="P9">
            <v>0.21130636604774511</v>
          </cell>
          <cell r="S9">
            <v>101.00444297082217</v>
          </cell>
          <cell r="U9">
            <v>0</v>
          </cell>
          <cell r="W9">
            <v>0</v>
          </cell>
          <cell r="X9">
            <v>115.37327586206882</v>
          </cell>
          <cell r="Z9">
            <v>115.37327586206882</v>
          </cell>
          <cell r="AA9">
            <v>133256.13362068948</v>
          </cell>
        </row>
        <row r="10">
          <cell r="E10">
            <v>2046</v>
          </cell>
          <cell r="F10" t="str">
            <v>Abbeyfield Primary Academy</v>
          </cell>
          <cell r="G10">
            <v>372</v>
          </cell>
          <cell r="H10">
            <v>49</v>
          </cell>
          <cell r="I10">
            <v>323</v>
          </cell>
          <cell r="N10">
            <v>0</v>
          </cell>
          <cell r="O10">
            <v>0.29778990930703497</v>
          </cell>
          <cell r="P10">
            <v>0.29778990930703497</v>
          </cell>
          <cell r="S10">
            <v>96.186140706172296</v>
          </cell>
          <cell r="U10">
            <v>0</v>
          </cell>
          <cell r="W10">
            <v>0</v>
          </cell>
          <cell r="X10">
            <v>110.77784626221701</v>
          </cell>
          <cell r="Z10">
            <v>110.77784626221701</v>
          </cell>
          <cell r="AA10">
            <v>127948.41243286064</v>
          </cell>
        </row>
        <row r="11">
          <cell r="E11">
            <v>2048</v>
          </cell>
          <cell r="F11" t="str">
            <v>Acres Hill Community Primary School</v>
          </cell>
          <cell r="G11">
            <v>205</v>
          </cell>
          <cell r="H11">
            <v>28</v>
          </cell>
          <cell r="I11">
            <v>177</v>
          </cell>
          <cell r="N11">
            <v>0</v>
          </cell>
          <cell r="O11">
            <v>0.47572115384615393</v>
          </cell>
          <cell r="P11">
            <v>0.47572115384615393</v>
          </cell>
          <cell r="S11">
            <v>84.202644230769252</v>
          </cell>
          <cell r="U11">
            <v>0</v>
          </cell>
          <cell r="W11">
            <v>0</v>
          </cell>
          <cell r="X11">
            <v>97.522836538461561</v>
          </cell>
          <cell r="Z11">
            <v>97.522836538461561</v>
          </cell>
          <cell r="AA11">
            <v>112638.87620192311</v>
          </cell>
        </row>
        <row r="12">
          <cell r="E12">
            <v>2342</v>
          </cell>
          <cell r="F12" t="str">
            <v>Angram Bank Primary School</v>
          </cell>
          <cell r="G12">
            <v>184</v>
          </cell>
          <cell r="H12">
            <v>16</v>
          </cell>
          <cell r="I12">
            <v>168</v>
          </cell>
          <cell r="N12">
            <v>0</v>
          </cell>
          <cell r="O12">
            <v>0.2723442004879128</v>
          </cell>
          <cell r="P12">
            <v>0.2723442004879128</v>
          </cell>
          <cell r="S12">
            <v>45.753825681969353</v>
          </cell>
          <cell r="U12">
            <v>0</v>
          </cell>
          <cell r="W12">
            <v>0</v>
          </cell>
          <cell r="X12">
            <v>50.111332889775959</v>
          </cell>
          <cell r="Z12">
            <v>50.111332889775959</v>
          </cell>
          <cell r="AA12">
            <v>57878.589487691235</v>
          </cell>
        </row>
        <row r="13">
          <cell r="E13">
            <v>2343</v>
          </cell>
          <cell r="F13" t="str">
            <v>Anns Grove Primary School</v>
          </cell>
          <cell r="G13">
            <v>334</v>
          </cell>
          <cell r="H13">
            <v>60</v>
          </cell>
          <cell r="I13">
            <v>274</v>
          </cell>
          <cell r="N13">
            <v>0</v>
          </cell>
          <cell r="O13">
            <v>0.27689544337303845</v>
          </cell>
          <cell r="P13">
            <v>0.27689544337303845</v>
          </cell>
          <cell r="S13">
            <v>75.86935148421253</v>
          </cell>
          <cell r="U13">
            <v>0</v>
          </cell>
          <cell r="W13">
            <v>0</v>
          </cell>
          <cell r="X13">
            <v>92.483078086594844</v>
          </cell>
          <cell r="Z13">
            <v>92.483078086594844</v>
          </cell>
          <cell r="AA13">
            <v>106817.95519001705</v>
          </cell>
        </row>
        <row r="14">
          <cell r="E14">
            <v>3429</v>
          </cell>
          <cell r="F14" t="str">
            <v>Arbourthorne Community Primary School</v>
          </cell>
          <cell r="G14">
            <v>420</v>
          </cell>
          <cell r="H14">
            <v>62</v>
          </cell>
          <cell r="I14">
            <v>358</v>
          </cell>
          <cell r="N14">
            <v>0</v>
          </cell>
          <cell r="O14">
            <v>0.56744277433932622</v>
          </cell>
          <cell r="P14">
            <v>0.56744277433932622</v>
          </cell>
          <cell r="S14">
            <v>203.14451321347877</v>
          </cell>
          <cell r="U14">
            <v>0</v>
          </cell>
          <cell r="W14">
            <v>0</v>
          </cell>
          <cell r="X14">
            <v>238.325965222517</v>
          </cell>
          <cell r="Z14">
            <v>238.325965222517</v>
          </cell>
          <cell r="AA14">
            <v>275266.48983200715</v>
          </cell>
        </row>
        <row r="15">
          <cell r="E15">
            <v>2340</v>
          </cell>
          <cell r="F15" t="str">
            <v>Athelstan Primary School</v>
          </cell>
          <cell r="G15">
            <v>614</v>
          </cell>
          <cell r="H15">
            <v>89</v>
          </cell>
          <cell r="I15">
            <v>525</v>
          </cell>
          <cell r="N15">
            <v>0</v>
          </cell>
          <cell r="O15">
            <v>0.28463390261627908</v>
          </cell>
          <cell r="P15">
            <v>0.28463390261627908</v>
          </cell>
          <cell r="S15">
            <v>149.43279887354652</v>
          </cell>
          <cell r="U15">
            <v>0</v>
          </cell>
          <cell r="W15">
            <v>0</v>
          </cell>
          <cell r="X15">
            <v>174.76521620639537</v>
          </cell>
          <cell r="Z15">
            <v>174.76521620639537</v>
          </cell>
          <cell r="AA15">
            <v>201853.82471838663</v>
          </cell>
        </row>
        <row r="16">
          <cell r="E16">
            <v>2281</v>
          </cell>
          <cell r="F16" t="str">
            <v>Ballifield Primary School</v>
          </cell>
          <cell r="G16">
            <v>415</v>
          </cell>
          <cell r="H16">
            <v>60</v>
          </cell>
          <cell r="I16">
            <v>355</v>
          </cell>
          <cell r="N16">
            <v>0</v>
          </cell>
          <cell r="O16">
            <v>0.30709566216604406</v>
          </cell>
          <cell r="P16">
            <v>0.30709566216604406</v>
          </cell>
          <cell r="S16">
            <v>109.01896006894565</v>
          </cell>
          <cell r="U16">
            <v>0</v>
          </cell>
          <cell r="W16">
            <v>0</v>
          </cell>
          <cell r="X16">
            <v>127.44469979890829</v>
          </cell>
          <cell r="Z16">
            <v>127.44469979890829</v>
          </cell>
          <cell r="AA16">
            <v>147198.62826773908</v>
          </cell>
        </row>
        <row r="17">
          <cell r="E17">
            <v>2322</v>
          </cell>
          <cell r="F17" t="str">
            <v>Bankwood Community Primary School</v>
          </cell>
          <cell r="G17">
            <v>384</v>
          </cell>
          <cell r="H17">
            <v>51</v>
          </cell>
          <cell r="I17">
            <v>333</v>
          </cell>
          <cell r="N17">
            <v>0</v>
          </cell>
          <cell r="O17">
            <v>0.44931773879142278</v>
          </cell>
          <cell r="P17">
            <v>0.44931773879142278</v>
          </cell>
          <cell r="S17">
            <v>149.62280701754378</v>
          </cell>
          <cell r="U17">
            <v>0</v>
          </cell>
          <cell r="W17">
            <v>0</v>
          </cell>
          <cell r="X17">
            <v>172.53801169590633</v>
          </cell>
          <cell r="Z17">
            <v>172.53801169590633</v>
          </cell>
          <cell r="AA17">
            <v>199281.40350877182</v>
          </cell>
        </row>
        <row r="18">
          <cell r="E18">
            <v>2274</v>
          </cell>
          <cell r="F18" t="str">
            <v>Beck Primary School</v>
          </cell>
          <cell r="G18">
            <v>615</v>
          </cell>
          <cell r="H18">
            <v>86</v>
          </cell>
          <cell r="I18">
            <v>529</v>
          </cell>
          <cell r="N18">
            <v>0</v>
          </cell>
          <cell r="O18">
            <v>0.38119481710812969</v>
          </cell>
          <cell r="P18">
            <v>0.38119481710812969</v>
          </cell>
          <cell r="S18">
            <v>201.65205825020061</v>
          </cell>
          <cell r="U18">
            <v>0</v>
          </cell>
          <cell r="W18">
            <v>0</v>
          </cell>
          <cell r="X18">
            <v>234.43481252149977</v>
          </cell>
          <cell r="Z18">
            <v>234.43481252149977</v>
          </cell>
          <cell r="AA18">
            <v>270772.2084623322</v>
          </cell>
        </row>
        <row r="19">
          <cell r="E19">
            <v>2241</v>
          </cell>
          <cell r="F19" t="str">
            <v>Beighton Nursery Infant School</v>
          </cell>
          <cell r="G19">
            <v>242</v>
          </cell>
          <cell r="H19">
            <v>82</v>
          </cell>
          <cell r="I19">
            <v>160</v>
          </cell>
          <cell r="N19">
            <v>0</v>
          </cell>
          <cell r="O19">
            <v>0.24699069959676101</v>
          </cell>
          <cell r="P19">
            <v>0.24699069959676101</v>
          </cell>
          <cell r="S19">
            <v>39.518511935481762</v>
          </cell>
          <cell r="U19">
            <v>0</v>
          </cell>
          <cell r="W19">
            <v>0</v>
          </cell>
          <cell r="X19">
            <v>59.771749302416161</v>
          </cell>
          <cell r="Z19">
            <v>59.771749302416161</v>
          </cell>
          <cell r="AA19">
            <v>69036.37044429066</v>
          </cell>
        </row>
        <row r="20">
          <cell r="E20">
            <v>2353</v>
          </cell>
          <cell r="F20" t="str">
            <v>Birley Primary Academy</v>
          </cell>
          <cell r="G20">
            <v>528</v>
          </cell>
          <cell r="H20">
            <v>59</v>
          </cell>
          <cell r="I20">
            <v>469</v>
          </cell>
          <cell r="N20">
            <v>0</v>
          </cell>
          <cell r="O20">
            <v>0.25456989247311829</v>
          </cell>
          <cell r="P20">
            <v>0.25456989247311829</v>
          </cell>
          <cell r="S20">
            <v>119.39327956989247</v>
          </cell>
          <cell r="U20">
            <v>0</v>
          </cell>
          <cell r="W20">
            <v>0</v>
          </cell>
          <cell r="X20">
            <v>134.41290322580645</v>
          </cell>
          <cell r="Z20">
            <v>134.41290322580645</v>
          </cell>
          <cell r="AA20">
            <v>155246.90322580645</v>
          </cell>
        </row>
        <row r="21">
          <cell r="E21">
            <v>2323</v>
          </cell>
          <cell r="F21" t="str">
            <v>Birley Spa Primary Academy</v>
          </cell>
          <cell r="G21">
            <v>337</v>
          </cell>
          <cell r="H21">
            <v>37</v>
          </cell>
          <cell r="I21">
            <v>300</v>
          </cell>
          <cell r="N21">
            <v>0</v>
          </cell>
          <cell r="O21">
            <v>0.30338983050847446</v>
          </cell>
          <cell r="P21">
            <v>0.30338983050847446</v>
          </cell>
          <cell r="S21">
            <v>91.016949152542338</v>
          </cell>
          <cell r="U21">
            <v>0</v>
          </cell>
          <cell r="W21">
            <v>0</v>
          </cell>
          <cell r="X21">
            <v>102.24237288135589</v>
          </cell>
          <cell r="Z21">
            <v>102.24237288135589</v>
          </cell>
          <cell r="AA21">
            <v>118089.94067796605</v>
          </cell>
        </row>
        <row r="22">
          <cell r="E22">
            <v>2328</v>
          </cell>
          <cell r="F22" t="str">
            <v>Bradfield Dungworth Primary School</v>
          </cell>
          <cell r="G22">
            <v>137</v>
          </cell>
          <cell r="H22">
            <v>20</v>
          </cell>
          <cell r="I22">
            <v>117</v>
          </cell>
          <cell r="N22">
            <v>0</v>
          </cell>
          <cell r="O22">
            <v>0.16521739130434776</v>
          </cell>
          <cell r="P22">
            <v>0.16521739130434776</v>
          </cell>
          <cell r="S22">
            <v>19.330434782608688</v>
          </cell>
          <cell r="U22">
            <v>0</v>
          </cell>
          <cell r="W22">
            <v>0</v>
          </cell>
          <cell r="X22">
            <v>22.634782608695645</v>
          </cell>
          <cell r="Z22">
            <v>22.634782608695645</v>
          </cell>
          <cell r="AA22">
            <v>26143.173913043469</v>
          </cell>
        </row>
        <row r="23">
          <cell r="E23">
            <v>2233</v>
          </cell>
          <cell r="F23" t="str">
            <v>Bradway Primary School</v>
          </cell>
          <cell r="G23">
            <v>414</v>
          </cell>
          <cell r="H23">
            <v>60</v>
          </cell>
          <cell r="I23">
            <v>354</v>
          </cell>
          <cell r="N23">
            <v>0</v>
          </cell>
          <cell r="O23">
            <v>0.22138009049773752</v>
          </cell>
          <cell r="P23">
            <v>0.22138009049773752</v>
          </cell>
          <cell r="S23">
            <v>78.368552036199077</v>
          </cell>
          <cell r="U23">
            <v>0</v>
          </cell>
          <cell r="W23">
            <v>0</v>
          </cell>
          <cell r="X23">
            <v>91.651357466063317</v>
          </cell>
          <cell r="Z23">
            <v>91.651357466063317</v>
          </cell>
          <cell r="AA23">
            <v>105857.31787330312</v>
          </cell>
        </row>
        <row r="24">
          <cell r="E24">
            <v>2014</v>
          </cell>
          <cell r="F24" t="str">
            <v>Brightside Nursery and Infant School</v>
          </cell>
          <cell r="G24">
            <v>173</v>
          </cell>
          <cell r="H24">
            <v>60</v>
          </cell>
          <cell r="I24">
            <v>113</v>
          </cell>
          <cell r="N24">
            <v>0</v>
          </cell>
          <cell r="O24">
            <v>0.33631911705040696</v>
          </cell>
          <cell r="P24">
            <v>0.33631911705040696</v>
          </cell>
          <cell r="S24">
            <v>38.004060226695984</v>
          </cell>
          <cell r="U24">
            <v>0</v>
          </cell>
          <cell r="W24">
            <v>0</v>
          </cell>
          <cell r="X24">
            <v>58.183207249720404</v>
          </cell>
          <cell r="Z24">
            <v>58.183207249720404</v>
          </cell>
          <cell r="AA24">
            <v>67201.604373427064</v>
          </cell>
        </row>
        <row r="25">
          <cell r="E25">
            <v>2246</v>
          </cell>
          <cell r="F25" t="str">
            <v>Brook House Junior</v>
          </cell>
          <cell r="G25">
            <v>340</v>
          </cell>
          <cell r="H25">
            <v>0</v>
          </cell>
          <cell r="I25">
            <v>340</v>
          </cell>
          <cell r="N25">
            <v>0</v>
          </cell>
          <cell r="O25">
            <v>0.24144816154309834</v>
          </cell>
          <cell r="P25">
            <v>0.24144816154309834</v>
          </cell>
          <cell r="S25">
            <v>82.092374924653441</v>
          </cell>
          <cell r="U25">
            <v>0</v>
          </cell>
          <cell r="W25">
            <v>0</v>
          </cell>
          <cell r="X25">
            <v>82.092374924653441</v>
          </cell>
          <cell r="Z25">
            <v>82.092374924653441</v>
          </cell>
          <cell r="AA25">
            <v>94816.693037974721</v>
          </cell>
        </row>
        <row r="26">
          <cell r="E26">
            <v>5204</v>
          </cell>
          <cell r="F26" t="str">
            <v>Broomhill Infant School</v>
          </cell>
          <cell r="G26">
            <v>119</v>
          </cell>
          <cell r="H26">
            <v>38</v>
          </cell>
          <cell r="I26">
            <v>81</v>
          </cell>
          <cell r="N26">
            <v>0</v>
          </cell>
          <cell r="O26">
            <v>0.25228227141416254</v>
          </cell>
          <cell r="P26">
            <v>0.25228227141416254</v>
          </cell>
          <cell r="S26">
            <v>20.434863984547167</v>
          </cell>
          <cell r="U26">
            <v>0</v>
          </cell>
          <cell r="W26">
            <v>0</v>
          </cell>
          <cell r="X26">
            <v>30.021590298285343</v>
          </cell>
          <cell r="Z26">
            <v>30.021590298285343</v>
          </cell>
          <cell r="AA26">
            <v>34674.93679451957</v>
          </cell>
        </row>
        <row r="27">
          <cell r="E27">
            <v>2325</v>
          </cell>
          <cell r="F27" t="str">
            <v>Brunswick Community Primary School</v>
          </cell>
          <cell r="G27">
            <v>417</v>
          </cell>
          <cell r="H27">
            <v>60</v>
          </cell>
          <cell r="I27">
            <v>357</v>
          </cell>
          <cell r="N27">
            <v>0</v>
          </cell>
          <cell r="O27">
            <v>0.33135775862068984</v>
          </cell>
          <cell r="P27">
            <v>0.33135775862068984</v>
          </cell>
          <cell r="S27">
            <v>118.29471982758628</v>
          </cell>
          <cell r="U27">
            <v>0</v>
          </cell>
          <cell r="W27">
            <v>0</v>
          </cell>
          <cell r="X27">
            <v>138.17618534482767</v>
          </cell>
          <cell r="Z27">
            <v>138.17618534482767</v>
          </cell>
          <cell r="AA27">
            <v>159593.49407327597</v>
          </cell>
        </row>
        <row r="28">
          <cell r="E28">
            <v>2095</v>
          </cell>
          <cell r="F28" t="str">
            <v>Byron Wood Primary Academy</v>
          </cell>
          <cell r="G28">
            <v>395</v>
          </cell>
          <cell r="H28">
            <v>53</v>
          </cell>
          <cell r="I28">
            <v>342</v>
          </cell>
          <cell r="N28">
            <v>0</v>
          </cell>
          <cell r="O28">
            <v>0.31311047746162679</v>
          </cell>
          <cell r="P28">
            <v>0.31311047746162679</v>
          </cell>
          <cell r="S28">
            <v>107.08378329187636</v>
          </cell>
          <cell r="U28">
            <v>0</v>
          </cell>
          <cell r="W28">
            <v>0</v>
          </cell>
          <cell r="X28">
            <v>123.67863859734258</v>
          </cell>
          <cell r="Z28">
            <v>123.67863859734258</v>
          </cell>
          <cell r="AA28">
            <v>142848.82757993069</v>
          </cell>
        </row>
        <row r="29">
          <cell r="E29">
            <v>2344</v>
          </cell>
          <cell r="F29" t="str">
            <v>Carfield Primary School</v>
          </cell>
          <cell r="G29">
            <v>570</v>
          </cell>
          <cell r="H29">
            <v>84</v>
          </cell>
          <cell r="I29">
            <v>486</v>
          </cell>
          <cell r="N29">
            <v>0</v>
          </cell>
          <cell r="O29">
            <v>0.19607843137254902</v>
          </cell>
          <cell r="P29">
            <v>0.19607843137254902</v>
          </cell>
          <cell r="S29">
            <v>95.294117647058826</v>
          </cell>
          <cell r="U29">
            <v>0</v>
          </cell>
          <cell r="W29">
            <v>0</v>
          </cell>
          <cell r="X29">
            <v>111.76470588235294</v>
          </cell>
          <cell r="Z29">
            <v>111.76470588235294</v>
          </cell>
          <cell r="AA29">
            <v>129088.23529411765</v>
          </cell>
        </row>
        <row r="30">
          <cell r="E30">
            <v>2023</v>
          </cell>
          <cell r="F30" t="str">
            <v>Carter Knowle Junior School</v>
          </cell>
          <cell r="G30">
            <v>236</v>
          </cell>
          <cell r="H30">
            <v>0</v>
          </cell>
          <cell r="I30">
            <v>236</v>
          </cell>
          <cell r="N30">
            <v>0</v>
          </cell>
          <cell r="O30">
            <v>0.20483966494627306</v>
          </cell>
          <cell r="P30">
            <v>0.20483966494627306</v>
          </cell>
          <cell r="S30">
            <v>48.342160927320442</v>
          </cell>
          <cell r="U30">
            <v>0</v>
          </cell>
          <cell r="W30">
            <v>0</v>
          </cell>
          <cell r="X30">
            <v>48.342160927320442</v>
          </cell>
          <cell r="Z30">
            <v>48.342160927320442</v>
          </cell>
          <cell r="AA30">
            <v>55835.195871055112</v>
          </cell>
        </row>
        <row r="31">
          <cell r="E31">
            <v>2354</v>
          </cell>
          <cell r="F31" t="str">
            <v>Charnock Hall Primary Academy</v>
          </cell>
          <cell r="G31">
            <v>407</v>
          </cell>
          <cell r="H31">
            <v>60</v>
          </cell>
          <cell r="I31">
            <v>347</v>
          </cell>
          <cell r="N31">
            <v>0</v>
          </cell>
          <cell r="O31">
            <v>0.28195878835795818</v>
          </cell>
          <cell r="P31">
            <v>0.28195878835795818</v>
          </cell>
          <cell r="S31">
            <v>97.839699560211486</v>
          </cell>
          <cell r="U31">
            <v>0</v>
          </cell>
          <cell r="W31">
            <v>0</v>
          </cell>
          <cell r="X31">
            <v>114.75722686168898</v>
          </cell>
          <cell r="Z31">
            <v>114.75722686168898</v>
          </cell>
          <cell r="AA31">
            <v>132544.59702525078</v>
          </cell>
        </row>
        <row r="32">
          <cell r="E32">
            <v>5200</v>
          </cell>
          <cell r="F32" t="str">
            <v>Clifford All Saints CofE Primary School</v>
          </cell>
          <cell r="G32">
            <v>184</v>
          </cell>
          <cell r="H32">
            <v>18</v>
          </cell>
          <cell r="I32">
            <v>166</v>
          </cell>
          <cell r="N32">
            <v>0</v>
          </cell>
          <cell r="O32">
            <v>0.22845336481700104</v>
          </cell>
          <cell r="P32">
            <v>0.22845336481700104</v>
          </cell>
          <cell r="S32">
            <v>37.92325855962217</v>
          </cell>
          <cell r="U32">
            <v>0</v>
          </cell>
          <cell r="W32">
            <v>0</v>
          </cell>
          <cell r="X32">
            <v>42.035419126328186</v>
          </cell>
          <cell r="Z32">
            <v>42.035419126328186</v>
          </cell>
          <cell r="AA32">
            <v>48550.909090909052</v>
          </cell>
        </row>
        <row r="33">
          <cell r="E33">
            <v>2312</v>
          </cell>
          <cell r="F33" t="str">
            <v>Coit Primary School</v>
          </cell>
          <cell r="G33">
            <v>205</v>
          </cell>
          <cell r="H33">
            <v>30</v>
          </cell>
          <cell r="I33">
            <v>175</v>
          </cell>
          <cell r="N33">
            <v>0</v>
          </cell>
          <cell r="O33">
            <v>0.24153592072667202</v>
          </cell>
          <cell r="P33">
            <v>0.24153592072667202</v>
          </cell>
          <cell r="S33">
            <v>42.268786127167601</v>
          </cell>
          <cell r="U33">
            <v>0</v>
          </cell>
          <cell r="W33">
            <v>0</v>
          </cell>
          <cell r="X33">
            <v>49.514863748967763</v>
          </cell>
          <cell r="Z33">
            <v>49.514863748967763</v>
          </cell>
          <cell r="AA33">
            <v>57189.667630057767</v>
          </cell>
        </row>
        <row r="34">
          <cell r="E34">
            <v>2026</v>
          </cell>
          <cell r="F34" t="str">
            <v>Concord Junior School</v>
          </cell>
          <cell r="G34">
            <v>198</v>
          </cell>
          <cell r="H34">
            <v>0</v>
          </cell>
          <cell r="I34">
            <v>198</v>
          </cell>
          <cell r="N34">
            <v>0</v>
          </cell>
          <cell r="O34">
            <v>0.38922155688622739</v>
          </cell>
          <cell r="P34">
            <v>0.38922155688622739</v>
          </cell>
          <cell r="S34">
            <v>77.065868263473021</v>
          </cell>
          <cell r="U34">
            <v>0</v>
          </cell>
          <cell r="W34">
            <v>0</v>
          </cell>
          <cell r="X34">
            <v>77.065868263473021</v>
          </cell>
          <cell r="Z34">
            <v>77.065868263473021</v>
          </cell>
          <cell r="AA34">
            <v>89011.077844311338</v>
          </cell>
        </row>
        <row r="35">
          <cell r="E35">
            <v>3422</v>
          </cell>
          <cell r="F35" t="str">
            <v>Deepcar St John's Church of England Junior School</v>
          </cell>
          <cell r="G35">
            <v>175</v>
          </cell>
          <cell r="H35">
            <v>0</v>
          </cell>
          <cell r="I35">
            <v>175</v>
          </cell>
          <cell r="N35">
            <v>0</v>
          </cell>
          <cell r="O35">
            <v>0.27025009331840216</v>
          </cell>
          <cell r="P35">
            <v>0.27025009331840216</v>
          </cell>
          <cell r="S35">
            <v>47.293766330720381</v>
          </cell>
          <cell r="U35">
            <v>0</v>
          </cell>
          <cell r="W35">
            <v>0</v>
          </cell>
          <cell r="X35">
            <v>47.293766330720381</v>
          </cell>
          <cell r="Z35">
            <v>47.293766330720381</v>
          </cell>
          <cell r="AA35">
            <v>54624.30011198204</v>
          </cell>
        </row>
        <row r="36">
          <cell r="E36">
            <v>2283</v>
          </cell>
          <cell r="F36" t="str">
            <v>Dobcroft Infant School</v>
          </cell>
          <cell r="G36">
            <v>269</v>
          </cell>
          <cell r="H36">
            <v>90</v>
          </cell>
          <cell r="I36">
            <v>179</v>
          </cell>
          <cell r="N36">
            <v>0</v>
          </cell>
          <cell r="O36">
            <v>0.24127632507898814</v>
          </cell>
          <cell r="P36">
            <v>0.24127632507898814</v>
          </cell>
          <cell r="S36">
            <v>43.188462189138875</v>
          </cell>
          <cell r="U36">
            <v>0</v>
          </cell>
          <cell r="W36">
            <v>0</v>
          </cell>
          <cell r="X36">
            <v>64.903331446247805</v>
          </cell>
          <cell r="Z36">
            <v>64.903331446247805</v>
          </cell>
          <cell r="AA36">
            <v>74963.347820416209</v>
          </cell>
        </row>
        <row r="37">
          <cell r="E37">
            <v>2239</v>
          </cell>
          <cell r="F37" t="str">
            <v>Dobcroft Junior School</v>
          </cell>
          <cell r="G37">
            <v>382</v>
          </cell>
          <cell r="H37">
            <v>0</v>
          </cell>
          <cell r="I37">
            <v>382</v>
          </cell>
          <cell r="N37">
            <v>0</v>
          </cell>
          <cell r="O37">
            <v>0.13984168865435354</v>
          </cell>
          <cell r="P37">
            <v>0.13984168865435354</v>
          </cell>
          <cell r="S37">
            <v>53.41952506596305</v>
          </cell>
          <cell r="U37">
            <v>0</v>
          </cell>
          <cell r="W37">
            <v>0</v>
          </cell>
          <cell r="X37">
            <v>53.41952506596305</v>
          </cell>
          <cell r="Z37">
            <v>53.41952506596305</v>
          </cell>
          <cell r="AA37">
            <v>61699.551451187326</v>
          </cell>
        </row>
        <row r="38">
          <cell r="E38">
            <v>2364</v>
          </cell>
          <cell r="F38" t="str">
            <v>Dore Primary School</v>
          </cell>
          <cell r="G38">
            <v>448</v>
          </cell>
          <cell r="H38">
            <v>59</v>
          </cell>
          <cell r="I38">
            <v>389</v>
          </cell>
          <cell r="N38">
            <v>0</v>
          </cell>
          <cell r="O38">
            <v>0.20245687625732967</v>
          </cell>
          <cell r="P38">
            <v>0.20245687625732967</v>
          </cell>
          <cell r="S38">
            <v>78.755724864101239</v>
          </cell>
          <cell r="U38">
            <v>0</v>
          </cell>
          <cell r="W38">
            <v>0</v>
          </cell>
          <cell r="X38">
            <v>90.700680563283697</v>
          </cell>
          <cell r="Z38">
            <v>90.700680563283697</v>
          </cell>
          <cell r="AA38">
            <v>104759.28605059267</v>
          </cell>
        </row>
        <row r="39">
          <cell r="E39">
            <v>2016</v>
          </cell>
          <cell r="F39" t="str">
            <v>E-ACT Pathways Academy</v>
          </cell>
          <cell r="G39">
            <v>365</v>
          </cell>
          <cell r="H39">
            <v>42</v>
          </cell>
          <cell r="I39">
            <v>323</v>
          </cell>
          <cell r="N39">
            <v>0</v>
          </cell>
          <cell r="O39">
            <v>0.3813559322033897</v>
          </cell>
          <cell r="P39">
            <v>0.3813559322033897</v>
          </cell>
          <cell r="S39">
            <v>123.17796610169488</v>
          </cell>
          <cell r="U39">
            <v>0</v>
          </cell>
          <cell r="W39">
            <v>0</v>
          </cell>
          <cell r="X39">
            <v>139.19491525423723</v>
          </cell>
          <cell r="Z39">
            <v>139.19491525423723</v>
          </cell>
          <cell r="AA39">
            <v>160770.12711864401</v>
          </cell>
        </row>
        <row r="40">
          <cell r="E40">
            <v>2206</v>
          </cell>
          <cell r="F40" t="str">
            <v>Ecclesall Primary School</v>
          </cell>
          <cell r="G40">
            <v>620</v>
          </cell>
          <cell r="H40">
            <v>78</v>
          </cell>
          <cell r="I40">
            <v>542</v>
          </cell>
          <cell r="N40">
            <v>0</v>
          </cell>
          <cell r="O40">
            <v>0.11774237105049951</v>
          </cell>
          <cell r="P40">
            <v>0.11774237105049951</v>
          </cell>
          <cell r="S40">
            <v>63.816365109370729</v>
          </cell>
          <cell r="U40">
            <v>0</v>
          </cell>
          <cell r="W40">
            <v>0</v>
          </cell>
          <cell r="X40">
            <v>73.000270051309698</v>
          </cell>
          <cell r="Z40">
            <v>73.000270051309698</v>
          </cell>
          <cell r="AA40">
            <v>84315.311909262702</v>
          </cell>
        </row>
        <row r="41">
          <cell r="E41">
            <v>2080</v>
          </cell>
          <cell r="F41" t="str">
            <v>Ecclesfield Primary School</v>
          </cell>
          <cell r="G41">
            <v>395</v>
          </cell>
          <cell r="H41">
            <v>59</v>
          </cell>
          <cell r="I41">
            <v>336</v>
          </cell>
          <cell r="N41">
            <v>0</v>
          </cell>
          <cell r="O41">
            <v>0.26352391267172115</v>
          </cell>
          <cell r="P41">
            <v>0.26352391267172115</v>
          </cell>
          <cell r="S41">
            <v>88.544034657698305</v>
          </cell>
          <cell r="U41">
            <v>0</v>
          </cell>
          <cell r="W41">
            <v>0</v>
          </cell>
          <cell r="X41">
            <v>104.09194550532986</v>
          </cell>
          <cell r="Z41">
            <v>104.09194550532986</v>
          </cell>
          <cell r="AA41">
            <v>120226.19705865599</v>
          </cell>
        </row>
        <row r="42">
          <cell r="E42">
            <v>2024</v>
          </cell>
          <cell r="F42" t="str">
            <v>Emmanuel Anglican/Methodist Junior School</v>
          </cell>
          <cell r="G42">
            <v>173</v>
          </cell>
          <cell r="H42">
            <v>0</v>
          </cell>
          <cell r="I42">
            <v>173</v>
          </cell>
          <cell r="N42">
            <v>0</v>
          </cell>
          <cell r="O42">
            <v>0.37211449676823632</v>
          </cell>
          <cell r="P42">
            <v>0.37211449676823632</v>
          </cell>
          <cell r="S42">
            <v>64.375807940904878</v>
          </cell>
          <cell r="U42">
            <v>0</v>
          </cell>
          <cell r="W42">
            <v>0</v>
          </cell>
          <cell r="X42">
            <v>64.375807940904878</v>
          </cell>
          <cell r="Z42">
            <v>64.375807940904878</v>
          </cell>
          <cell r="AA42">
            <v>74354.058171745128</v>
          </cell>
        </row>
        <row r="43">
          <cell r="E43">
            <v>2028</v>
          </cell>
          <cell r="F43" t="str">
            <v>Emmaus Catholic and CofE Primary School</v>
          </cell>
          <cell r="G43">
            <v>293</v>
          </cell>
          <cell r="H43">
            <v>33</v>
          </cell>
          <cell r="I43">
            <v>260</v>
          </cell>
          <cell r="N43">
            <v>0</v>
          </cell>
          <cell r="O43">
            <v>0.37483385024368604</v>
          </cell>
          <cell r="P43">
            <v>0.37483385024368604</v>
          </cell>
          <cell r="S43">
            <v>97.45680106335837</v>
          </cell>
          <cell r="U43">
            <v>0</v>
          </cell>
          <cell r="W43">
            <v>0</v>
          </cell>
          <cell r="X43">
            <v>109.82631812140001</v>
          </cell>
          <cell r="Z43">
            <v>109.82631812140001</v>
          </cell>
          <cell r="AA43">
            <v>126849.39743021701</v>
          </cell>
        </row>
        <row r="44">
          <cell r="E44">
            <v>2010</v>
          </cell>
          <cell r="F44" t="str">
            <v>Fox Hill Primary</v>
          </cell>
          <cell r="G44">
            <v>274</v>
          </cell>
          <cell r="H44">
            <v>37</v>
          </cell>
          <cell r="I44">
            <v>237</v>
          </cell>
          <cell r="N44">
            <v>0</v>
          </cell>
          <cell r="O44">
            <v>0.4438894438894439</v>
          </cell>
          <cell r="P44">
            <v>0.4438894438894439</v>
          </cell>
          <cell r="S44">
            <v>105.2017982017982</v>
          </cell>
          <cell r="U44">
            <v>0</v>
          </cell>
          <cell r="W44">
            <v>0</v>
          </cell>
          <cell r="X44">
            <v>121.62570762570762</v>
          </cell>
          <cell r="Z44">
            <v>121.62570762570762</v>
          </cell>
          <cell r="AA44">
            <v>140477.69230769231</v>
          </cell>
        </row>
        <row r="45">
          <cell r="E45">
            <v>2036</v>
          </cell>
          <cell r="F45" t="str">
            <v>Gleadless Primary School</v>
          </cell>
          <cell r="G45">
            <v>398</v>
          </cell>
          <cell r="H45">
            <v>53</v>
          </cell>
          <cell r="I45">
            <v>345</v>
          </cell>
          <cell r="N45">
            <v>0</v>
          </cell>
          <cell r="O45">
            <v>0.29813593998636029</v>
          </cell>
          <cell r="P45">
            <v>0.29813593998636029</v>
          </cell>
          <cell r="S45">
            <v>102.8568992952943</v>
          </cell>
          <cell r="U45">
            <v>0</v>
          </cell>
          <cell r="W45">
            <v>0</v>
          </cell>
          <cell r="X45">
            <v>118.6581041145714</v>
          </cell>
          <cell r="Z45">
            <v>118.6581041145714</v>
          </cell>
          <cell r="AA45">
            <v>137050.11025232996</v>
          </cell>
        </row>
        <row r="46">
          <cell r="E46">
            <v>2305</v>
          </cell>
          <cell r="F46" t="str">
            <v>Greengate Lane Academy</v>
          </cell>
          <cell r="G46">
            <v>190</v>
          </cell>
          <cell r="H46">
            <v>23</v>
          </cell>
          <cell r="I46">
            <v>167</v>
          </cell>
          <cell r="N46">
            <v>0</v>
          </cell>
          <cell r="O46">
            <v>0.24895104895104875</v>
          </cell>
          <cell r="P46">
            <v>0.24895104895104875</v>
          </cell>
          <cell r="S46">
            <v>41.574825174825143</v>
          </cell>
          <cell r="U46">
            <v>0</v>
          </cell>
          <cell r="W46">
            <v>0</v>
          </cell>
          <cell r="X46">
            <v>47.300699300699264</v>
          </cell>
          <cell r="Z46">
            <v>47.300699300699264</v>
          </cell>
          <cell r="AA46">
            <v>54632.307692307651</v>
          </cell>
        </row>
        <row r="47">
          <cell r="E47">
            <v>2341</v>
          </cell>
          <cell r="F47" t="str">
            <v>Greenhill Primary School</v>
          </cell>
          <cell r="G47">
            <v>468</v>
          </cell>
          <cell r="H47">
            <v>73</v>
          </cell>
          <cell r="I47">
            <v>395</v>
          </cell>
          <cell r="N47">
            <v>0</v>
          </cell>
          <cell r="O47">
            <v>0.2644110275689226</v>
          </cell>
          <cell r="P47">
            <v>0.2644110275689226</v>
          </cell>
          <cell r="S47">
            <v>104.44235588972442</v>
          </cell>
          <cell r="U47">
            <v>0</v>
          </cell>
          <cell r="W47">
            <v>0</v>
          </cell>
          <cell r="X47">
            <v>123.74436090225578</v>
          </cell>
          <cell r="Z47">
            <v>123.74436090225578</v>
          </cell>
          <cell r="AA47">
            <v>142924.73684210543</v>
          </cell>
        </row>
        <row r="48">
          <cell r="E48">
            <v>2296</v>
          </cell>
          <cell r="F48" t="str">
            <v>Grenoside Community Primary School</v>
          </cell>
          <cell r="G48">
            <v>322</v>
          </cell>
          <cell r="H48">
            <v>47</v>
          </cell>
          <cell r="I48">
            <v>275</v>
          </cell>
          <cell r="N48">
            <v>0</v>
          </cell>
          <cell r="O48">
            <v>0.1877289377289377</v>
          </cell>
          <cell r="P48">
            <v>0.1877289377289377</v>
          </cell>
          <cell r="S48">
            <v>51.625457875457869</v>
          </cell>
          <cell r="U48">
            <v>0</v>
          </cell>
          <cell r="W48">
            <v>0</v>
          </cell>
          <cell r="X48">
            <v>60.448717948717942</v>
          </cell>
          <cell r="Z48">
            <v>60.448717948717942</v>
          </cell>
          <cell r="AA48">
            <v>69818.26923076922</v>
          </cell>
        </row>
        <row r="49">
          <cell r="E49">
            <v>2356</v>
          </cell>
          <cell r="F49" t="str">
            <v>Greystones Primary School</v>
          </cell>
          <cell r="G49">
            <v>613</v>
          </cell>
          <cell r="H49">
            <v>83</v>
          </cell>
          <cell r="I49">
            <v>530</v>
          </cell>
          <cell r="N49">
            <v>0</v>
          </cell>
          <cell r="O49">
            <v>0.17330362944398003</v>
          </cell>
          <cell r="P49">
            <v>0.17330362944398003</v>
          </cell>
          <cell r="S49">
            <v>91.850923605309418</v>
          </cell>
          <cell r="U49">
            <v>0</v>
          </cell>
          <cell r="W49">
            <v>0</v>
          </cell>
          <cell r="X49">
            <v>106.23512484915976</v>
          </cell>
          <cell r="Z49">
            <v>106.23512484915976</v>
          </cell>
          <cell r="AA49">
            <v>122701.56920077953</v>
          </cell>
        </row>
        <row r="50">
          <cell r="E50">
            <v>2279</v>
          </cell>
          <cell r="F50" t="str">
            <v>Halfway Junior School</v>
          </cell>
          <cell r="G50">
            <v>206</v>
          </cell>
          <cell r="H50">
            <v>0</v>
          </cell>
          <cell r="I50">
            <v>206</v>
          </cell>
          <cell r="N50">
            <v>0</v>
          </cell>
          <cell r="O50">
            <v>0.22485080988917286</v>
          </cell>
          <cell r="P50">
            <v>0.22485080988917286</v>
          </cell>
          <cell r="S50">
            <v>46.319266837169607</v>
          </cell>
          <cell r="U50">
            <v>0</v>
          </cell>
          <cell r="W50">
            <v>0</v>
          </cell>
          <cell r="X50">
            <v>46.319266837169607</v>
          </cell>
          <cell r="Z50">
            <v>46.319266837169607</v>
          </cell>
          <cell r="AA50">
            <v>53498.753196930898</v>
          </cell>
        </row>
        <row r="51">
          <cell r="E51">
            <v>2252</v>
          </cell>
          <cell r="F51" t="str">
            <v>Halfway Nursery Infant School</v>
          </cell>
          <cell r="G51">
            <v>157</v>
          </cell>
          <cell r="H51">
            <v>51</v>
          </cell>
          <cell r="I51">
            <v>106</v>
          </cell>
          <cell r="N51">
            <v>0</v>
          </cell>
          <cell r="O51">
            <v>0.32164368957140971</v>
          </cell>
          <cell r="P51">
            <v>0.32164368957140971</v>
          </cell>
          <cell r="S51">
            <v>34.09423109456943</v>
          </cell>
          <cell r="U51">
            <v>0</v>
          </cell>
          <cell r="W51">
            <v>0</v>
          </cell>
          <cell r="X51">
            <v>50.498059262711323</v>
          </cell>
          <cell r="Z51">
            <v>50.498059262711323</v>
          </cell>
          <cell r="AA51">
            <v>58325.258448431574</v>
          </cell>
        </row>
        <row r="52">
          <cell r="E52">
            <v>2357</v>
          </cell>
          <cell r="F52" t="str">
            <v>Hallam Primary School</v>
          </cell>
          <cell r="G52">
            <v>633</v>
          </cell>
          <cell r="H52">
            <v>89</v>
          </cell>
          <cell r="I52">
            <v>544</v>
          </cell>
          <cell r="N52">
            <v>0</v>
          </cell>
          <cell r="O52">
            <v>0.20055391919813578</v>
          </cell>
          <cell r="P52">
            <v>0.20055391919813578</v>
          </cell>
          <cell r="S52">
            <v>109.10133204378586</v>
          </cell>
          <cell r="U52">
            <v>0</v>
          </cell>
          <cell r="W52">
            <v>0</v>
          </cell>
          <cell r="X52">
            <v>126.95063085241995</v>
          </cell>
          <cell r="Z52">
            <v>126.95063085241995</v>
          </cell>
          <cell r="AA52">
            <v>146627.97863454503</v>
          </cell>
        </row>
        <row r="53">
          <cell r="E53">
            <v>2050</v>
          </cell>
          <cell r="F53" t="str">
            <v>Hartley Brook Primary School</v>
          </cell>
          <cell r="G53">
            <v>570</v>
          </cell>
          <cell r="H53">
            <v>67</v>
          </cell>
          <cell r="I53">
            <v>503</v>
          </cell>
          <cell r="N53">
            <v>0</v>
          </cell>
          <cell r="O53">
            <v>0.40241998438719762</v>
          </cell>
          <cell r="P53">
            <v>0.40241998438719762</v>
          </cell>
          <cell r="S53">
            <v>202.4172521467604</v>
          </cell>
          <cell r="U53">
            <v>0</v>
          </cell>
          <cell r="W53">
            <v>0</v>
          </cell>
          <cell r="X53">
            <v>229.37939110070263</v>
          </cell>
          <cell r="Z53">
            <v>229.37939110070263</v>
          </cell>
          <cell r="AA53">
            <v>264933.19672131154</v>
          </cell>
        </row>
        <row r="54">
          <cell r="E54">
            <v>2049</v>
          </cell>
          <cell r="F54" t="str">
            <v>Hatfield Academy</v>
          </cell>
          <cell r="G54">
            <v>374</v>
          </cell>
          <cell r="H54">
            <v>51</v>
          </cell>
          <cell r="I54">
            <v>323</v>
          </cell>
          <cell r="N54">
            <v>0</v>
          </cell>
          <cell r="O54">
            <v>0.4191729323308272</v>
          </cell>
          <cell r="P54">
            <v>0.4191729323308272</v>
          </cell>
          <cell r="S54">
            <v>135.3928571428572</v>
          </cell>
          <cell r="U54">
            <v>0</v>
          </cell>
          <cell r="W54">
            <v>0</v>
          </cell>
          <cell r="X54">
            <v>156.77067669172939</v>
          </cell>
          <cell r="Z54">
            <v>156.77067669172939</v>
          </cell>
          <cell r="AA54">
            <v>181070.13157894745</v>
          </cell>
        </row>
        <row r="55">
          <cell r="E55">
            <v>2297</v>
          </cell>
          <cell r="F55" t="str">
            <v>High Green Primary School</v>
          </cell>
          <cell r="G55">
            <v>194</v>
          </cell>
          <cell r="H55">
            <v>19</v>
          </cell>
          <cell r="I55">
            <v>175</v>
          </cell>
          <cell r="N55">
            <v>0</v>
          </cell>
          <cell r="O55">
            <v>0.38644470868014269</v>
          </cell>
          <cell r="P55">
            <v>0.38644470868014269</v>
          </cell>
          <cell r="S55">
            <v>67.62782401902497</v>
          </cell>
          <cell r="U55">
            <v>0</v>
          </cell>
          <cell r="W55">
            <v>0</v>
          </cell>
          <cell r="X55">
            <v>74.970273483947679</v>
          </cell>
          <cell r="Z55">
            <v>74.970273483947679</v>
          </cell>
          <cell r="AA55">
            <v>86590.665873959573</v>
          </cell>
        </row>
        <row r="56">
          <cell r="E56">
            <v>2042</v>
          </cell>
          <cell r="F56" t="str">
            <v>High Hazels Junior School</v>
          </cell>
          <cell r="G56">
            <v>356</v>
          </cell>
          <cell r="H56">
            <v>0</v>
          </cell>
          <cell r="I56">
            <v>356</v>
          </cell>
          <cell r="N56">
            <v>0</v>
          </cell>
          <cell r="O56">
            <v>0.30455377756548069</v>
          </cell>
          <cell r="P56">
            <v>0.30455377756548069</v>
          </cell>
          <cell r="S56">
            <v>108.42114481331113</v>
          </cell>
          <cell r="U56">
            <v>0</v>
          </cell>
          <cell r="W56">
            <v>0</v>
          </cell>
          <cell r="X56">
            <v>108.42114481331113</v>
          </cell>
          <cell r="Z56">
            <v>108.42114481331113</v>
          </cell>
          <cell r="AA56">
            <v>125226.42225937436</v>
          </cell>
        </row>
        <row r="57">
          <cell r="E57">
            <v>2039</v>
          </cell>
          <cell r="F57" t="str">
            <v>High Hazels Nursery Infant Academy</v>
          </cell>
          <cell r="G57">
            <v>248</v>
          </cell>
          <cell r="H57">
            <v>84</v>
          </cell>
          <cell r="I57">
            <v>164</v>
          </cell>
          <cell r="N57">
            <v>0</v>
          </cell>
          <cell r="O57">
            <v>0.26933156283615772</v>
          </cell>
          <cell r="P57">
            <v>0.26933156283615772</v>
          </cell>
          <cell r="S57">
            <v>44.170376305129864</v>
          </cell>
          <cell r="U57">
            <v>0</v>
          </cell>
          <cell r="W57">
            <v>0</v>
          </cell>
          <cell r="X57">
            <v>66.794227583367118</v>
          </cell>
          <cell r="Z57">
            <v>66.794227583367118</v>
          </cell>
          <cell r="AA57">
            <v>77147.332858789014</v>
          </cell>
        </row>
        <row r="58">
          <cell r="E58">
            <v>2339</v>
          </cell>
          <cell r="F58" t="str">
            <v>Hillsborough Primary School</v>
          </cell>
          <cell r="G58">
            <v>340</v>
          </cell>
          <cell r="H58">
            <v>39</v>
          </cell>
          <cell r="I58">
            <v>301</v>
          </cell>
          <cell r="N58">
            <v>0</v>
          </cell>
          <cell r="O58">
            <v>0.35653650254668912</v>
          </cell>
          <cell r="P58">
            <v>0.35653650254668912</v>
          </cell>
          <cell r="S58">
            <v>107.31748726655343</v>
          </cell>
          <cell r="U58">
            <v>0</v>
          </cell>
          <cell r="W58">
            <v>0</v>
          </cell>
          <cell r="X58">
            <v>121.22241086587429</v>
          </cell>
          <cell r="Z58">
            <v>121.22241086587429</v>
          </cell>
          <cell r="AA58">
            <v>140011.8845500848</v>
          </cell>
        </row>
        <row r="59">
          <cell r="E59">
            <v>2213</v>
          </cell>
          <cell r="F59" t="str">
            <v>Holt House Infant School</v>
          </cell>
          <cell r="G59">
            <v>179</v>
          </cell>
          <cell r="H59">
            <v>59</v>
          </cell>
          <cell r="I59">
            <v>120</v>
          </cell>
          <cell r="N59">
            <v>0</v>
          </cell>
          <cell r="O59">
            <v>0.23877369385008063</v>
          </cell>
          <cell r="P59">
            <v>0.23877369385008063</v>
          </cell>
          <cell r="S59">
            <v>28.652843262009675</v>
          </cell>
          <cell r="U59">
            <v>0</v>
          </cell>
          <cell r="W59">
            <v>0</v>
          </cell>
          <cell r="X59">
            <v>42.740491199164431</v>
          </cell>
          <cell r="Z59">
            <v>42.740491199164431</v>
          </cell>
          <cell r="AA59">
            <v>49365.267335034921</v>
          </cell>
        </row>
        <row r="60">
          <cell r="E60">
            <v>2337</v>
          </cell>
          <cell r="F60" t="str">
            <v>Hucklow Primary School</v>
          </cell>
          <cell r="G60">
            <v>407</v>
          </cell>
          <cell r="H60">
            <v>58</v>
          </cell>
          <cell r="I60">
            <v>349</v>
          </cell>
          <cell r="N60">
            <v>0</v>
          </cell>
          <cell r="O60">
            <v>0.48223880597014895</v>
          </cell>
          <cell r="P60">
            <v>0.48223880597014895</v>
          </cell>
          <cell r="S60">
            <v>168.30134328358199</v>
          </cell>
          <cell r="U60">
            <v>0</v>
          </cell>
          <cell r="W60">
            <v>0</v>
          </cell>
          <cell r="X60">
            <v>196.27119402985062</v>
          </cell>
          <cell r="Z60">
            <v>196.27119402985062</v>
          </cell>
          <cell r="AA60">
            <v>226693.22910447748</v>
          </cell>
        </row>
        <row r="61">
          <cell r="E61">
            <v>2060</v>
          </cell>
          <cell r="F61" t="str">
            <v>Hunter's Bar Infant School</v>
          </cell>
          <cell r="G61">
            <v>269</v>
          </cell>
          <cell r="H61">
            <v>89</v>
          </cell>
          <cell r="I61">
            <v>180</v>
          </cell>
          <cell r="N61">
            <v>0</v>
          </cell>
          <cell r="O61">
            <v>0.28920035135106698</v>
          </cell>
          <cell r="P61">
            <v>0.28920035135106698</v>
          </cell>
          <cell r="S61">
            <v>52.056063243192057</v>
          </cell>
          <cell r="U61">
            <v>0</v>
          </cell>
          <cell r="W61">
            <v>0</v>
          </cell>
          <cell r="X61">
            <v>77.794894513437015</v>
          </cell>
          <cell r="Z61">
            <v>77.794894513437015</v>
          </cell>
          <cell r="AA61">
            <v>89853.103163019754</v>
          </cell>
        </row>
        <row r="62">
          <cell r="E62">
            <v>2058</v>
          </cell>
          <cell r="F62" t="str">
            <v>Hunter's Bar Junior School</v>
          </cell>
          <cell r="G62">
            <v>362</v>
          </cell>
          <cell r="H62">
            <v>0</v>
          </cell>
          <cell r="I62">
            <v>362</v>
          </cell>
          <cell r="N62">
            <v>0</v>
          </cell>
          <cell r="O62">
            <v>0.25224879157463431</v>
          </cell>
          <cell r="P62">
            <v>0.25224879157463431</v>
          </cell>
          <cell r="S62">
            <v>91.314062550017624</v>
          </cell>
          <cell r="U62">
            <v>0</v>
          </cell>
          <cell r="W62">
            <v>0</v>
          </cell>
          <cell r="X62">
            <v>91.314062550017624</v>
          </cell>
          <cell r="Z62">
            <v>91.314062550017624</v>
          </cell>
          <cell r="AA62">
            <v>105467.74224527036</v>
          </cell>
        </row>
        <row r="63">
          <cell r="E63">
            <v>2063</v>
          </cell>
          <cell r="F63" t="str">
            <v>Intake Primary School</v>
          </cell>
          <cell r="G63">
            <v>413</v>
          </cell>
          <cell r="H63">
            <v>60</v>
          </cell>
          <cell r="I63">
            <v>353</v>
          </cell>
          <cell r="N63">
            <v>0</v>
          </cell>
          <cell r="O63">
            <v>0.21479917558940348</v>
          </cell>
          <cell r="P63">
            <v>0.21479917558940348</v>
          </cell>
          <cell r="S63">
            <v>75.824108983059432</v>
          </cell>
          <cell r="U63">
            <v>0</v>
          </cell>
          <cell r="W63">
            <v>0</v>
          </cell>
          <cell r="X63">
            <v>88.712059518423644</v>
          </cell>
          <cell r="Z63">
            <v>88.712059518423644</v>
          </cell>
          <cell r="AA63">
            <v>102462.42874377931</v>
          </cell>
        </row>
        <row r="64">
          <cell r="E64">
            <v>2261</v>
          </cell>
          <cell r="F64" t="str">
            <v>Limpsfield Junior School</v>
          </cell>
          <cell r="G64">
            <v>225</v>
          </cell>
          <cell r="H64">
            <v>0</v>
          </cell>
          <cell r="I64">
            <v>225</v>
          </cell>
          <cell r="N64">
            <v>0</v>
          </cell>
          <cell r="O64">
            <v>0.35996585574050355</v>
          </cell>
          <cell r="P64">
            <v>0.35996585574050355</v>
          </cell>
          <cell r="S64">
            <v>80.992317541613303</v>
          </cell>
          <cell r="U64">
            <v>0</v>
          </cell>
          <cell r="W64">
            <v>0</v>
          </cell>
          <cell r="X64">
            <v>80.992317541613303</v>
          </cell>
          <cell r="Z64">
            <v>80.992317541613303</v>
          </cell>
          <cell r="AA64">
            <v>93546.126760563362</v>
          </cell>
        </row>
        <row r="65">
          <cell r="E65">
            <v>2315</v>
          </cell>
          <cell r="F65" t="str">
            <v>Lound Infant School</v>
          </cell>
          <cell r="G65">
            <v>148</v>
          </cell>
          <cell r="H65">
            <v>49</v>
          </cell>
          <cell r="I65">
            <v>99</v>
          </cell>
          <cell r="N65">
            <v>0</v>
          </cell>
          <cell r="O65">
            <v>0.34822810761056011</v>
          </cell>
          <cell r="P65">
            <v>0.34822810761056011</v>
          </cell>
          <cell r="S65">
            <v>34.474582653445452</v>
          </cell>
          <cell r="U65">
            <v>0</v>
          </cell>
          <cell r="W65">
            <v>0</v>
          </cell>
          <cell r="X65">
            <v>51.537759926362895</v>
          </cell>
          <cell r="Z65">
            <v>51.537759926362895</v>
          </cell>
          <cell r="AA65">
            <v>59526.112714949144</v>
          </cell>
        </row>
        <row r="66">
          <cell r="E66">
            <v>2298</v>
          </cell>
          <cell r="F66" t="str">
            <v>Lound Junior School</v>
          </cell>
          <cell r="G66">
            <v>211</v>
          </cell>
          <cell r="H66">
            <v>0</v>
          </cell>
          <cell r="I66">
            <v>211</v>
          </cell>
          <cell r="N66">
            <v>0</v>
          </cell>
          <cell r="O66">
            <v>0.25128498001142213</v>
          </cell>
          <cell r="P66">
            <v>0.25128498001142213</v>
          </cell>
          <cell r="S66">
            <v>53.021130782410069</v>
          </cell>
          <cell r="U66">
            <v>0</v>
          </cell>
          <cell r="W66">
            <v>0</v>
          </cell>
          <cell r="X66">
            <v>53.021130782410069</v>
          </cell>
          <cell r="Z66">
            <v>53.021130782410069</v>
          </cell>
          <cell r="AA66">
            <v>61239.406053683626</v>
          </cell>
        </row>
        <row r="67">
          <cell r="E67">
            <v>2029</v>
          </cell>
          <cell r="F67" t="str">
            <v>Lowedges Junior Academy</v>
          </cell>
          <cell r="G67">
            <v>299</v>
          </cell>
          <cell r="H67">
            <v>34</v>
          </cell>
          <cell r="I67">
            <v>265</v>
          </cell>
          <cell r="N67">
            <v>0</v>
          </cell>
          <cell r="O67">
            <v>0.3238095238095236</v>
          </cell>
          <cell r="P67">
            <v>0.3238095238095236</v>
          </cell>
          <cell r="S67">
            <v>85.809523809523753</v>
          </cell>
          <cell r="U67">
            <v>0</v>
          </cell>
          <cell r="W67">
            <v>0</v>
          </cell>
          <cell r="X67">
            <v>96.819047619047552</v>
          </cell>
          <cell r="Z67">
            <v>96.819047619047552</v>
          </cell>
          <cell r="AA67">
            <v>111825.99999999993</v>
          </cell>
        </row>
        <row r="68">
          <cell r="E68">
            <v>2045</v>
          </cell>
          <cell r="F68" t="str">
            <v>Lower Meadow Primary School</v>
          </cell>
          <cell r="G68">
            <v>259</v>
          </cell>
          <cell r="H68">
            <v>43</v>
          </cell>
          <cell r="I68">
            <v>216</v>
          </cell>
          <cell r="N68">
            <v>0</v>
          </cell>
          <cell r="O68">
            <v>0.41506410256410231</v>
          </cell>
          <cell r="P68">
            <v>0.41506410256410231</v>
          </cell>
          <cell r="S68">
            <v>89.653846153846104</v>
          </cell>
          <cell r="U68">
            <v>0</v>
          </cell>
          <cell r="W68">
            <v>0</v>
          </cell>
          <cell r="X68">
            <v>107.5016025641025</v>
          </cell>
          <cell r="Z68">
            <v>107.5016025641025</v>
          </cell>
          <cell r="AA68">
            <v>124164.35096153838</v>
          </cell>
        </row>
        <row r="69">
          <cell r="E69">
            <v>2070</v>
          </cell>
          <cell r="F69" t="str">
            <v>Lowfield Community Primary School</v>
          </cell>
          <cell r="G69">
            <v>379</v>
          </cell>
          <cell r="H69">
            <v>53</v>
          </cell>
          <cell r="I69">
            <v>326</v>
          </cell>
          <cell r="N69">
            <v>0</v>
          </cell>
          <cell r="O69">
            <v>0.29674185463659153</v>
          </cell>
          <cell r="P69">
            <v>0.29674185463659153</v>
          </cell>
          <cell r="S69">
            <v>96.737844611528843</v>
          </cell>
          <cell r="U69">
            <v>0</v>
          </cell>
          <cell r="W69">
            <v>0</v>
          </cell>
          <cell r="X69">
            <v>112.46516290726819</v>
          </cell>
          <cell r="Z69">
            <v>112.46516290726819</v>
          </cell>
          <cell r="AA69">
            <v>129897.26315789476</v>
          </cell>
        </row>
        <row r="70">
          <cell r="E70">
            <v>2292</v>
          </cell>
          <cell r="F70" t="str">
            <v>Loxley Primary School</v>
          </cell>
          <cell r="G70">
            <v>210</v>
          </cell>
          <cell r="H70">
            <v>30</v>
          </cell>
          <cell r="I70">
            <v>180</v>
          </cell>
          <cell r="N70">
            <v>0</v>
          </cell>
          <cell r="O70">
            <v>0.15284773343665239</v>
          </cell>
          <cell r="P70">
            <v>0.15284773343665239</v>
          </cell>
          <cell r="S70">
            <v>27.512592018597431</v>
          </cell>
          <cell r="U70">
            <v>0</v>
          </cell>
          <cell r="W70">
            <v>0</v>
          </cell>
          <cell r="X70">
            <v>32.098024021697</v>
          </cell>
          <cell r="Z70">
            <v>32.098024021697</v>
          </cell>
          <cell r="AA70">
            <v>37073.217745060036</v>
          </cell>
        </row>
        <row r="71">
          <cell r="E71">
            <v>2072</v>
          </cell>
          <cell r="F71" t="str">
            <v>Lydgate Infant School</v>
          </cell>
          <cell r="G71">
            <v>344</v>
          </cell>
          <cell r="H71">
            <v>108</v>
          </cell>
          <cell r="I71">
            <v>236</v>
          </cell>
          <cell r="N71">
            <v>0</v>
          </cell>
          <cell r="O71">
            <v>0.28166080116869496</v>
          </cell>
          <cell r="P71">
            <v>0.28166080116869496</v>
          </cell>
          <cell r="S71">
            <v>66.471949075812006</v>
          </cell>
          <cell r="U71">
            <v>0</v>
          </cell>
          <cell r="W71">
            <v>0</v>
          </cell>
          <cell r="X71">
            <v>96.891315602031071</v>
          </cell>
          <cell r="Z71">
            <v>96.891315602031071</v>
          </cell>
          <cell r="AA71">
            <v>111909.46952034588</v>
          </cell>
        </row>
        <row r="72">
          <cell r="E72">
            <v>2071</v>
          </cell>
          <cell r="F72" t="str">
            <v>Lydgate Junior School</v>
          </cell>
          <cell r="G72">
            <v>479</v>
          </cell>
          <cell r="H72">
            <v>0</v>
          </cell>
          <cell r="I72">
            <v>479</v>
          </cell>
          <cell r="N72">
            <v>0</v>
          </cell>
          <cell r="O72">
            <v>0.22529303608365894</v>
          </cell>
          <cell r="P72">
            <v>0.22529303608365894</v>
          </cell>
          <cell r="S72">
            <v>107.91536428407264</v>
          </cell>
          <cell r="U72">
            <v>0</v>
          </cell>
          <cell r="W72">
            <v>0</v>
          </cell>
          <cell r="X72">
            <v>107.91536428407264</v>
          </cell>
          <cell r="Z72">
            <v>107.91536428407264</v>
          </cell>
          <cell r="AA72">
            <v>124642.2457481039</v>
          </cell>
        </row>
        <row r="73">
          <cell r="E73">
            <v>2358</v>
          </cell>
          <cell r="F73" t="str">
            <v>Malin Bridge Primary School</v>
          </cell>
          <cell r="G73">
            <v>517</v>
          </cell>
          <cell r="H73">
            <v>72</v>
          </cell>
          <cell r="I73">
            <v>445</v>
          </cell>
          <cell r="N73">
            <v>0</v>
          </cell>
          <cell r="O73">
            <v>0.2062012987012985</v>
          </cell>
          <cell r="P73">
            <v>0.2062012987012985</v>
          </cell>
          <cell r="S73">
            <v>91.759577922077824</v>
          </cell>
          <cell r="U73">
            <v>0</v>
          </cell>
          <cell r="W73">
            <v>0</v>
          </cell>
          <cell r="X73">
            <v>106.60607142857131</v>
          </cell>
          <cell r="Z73">
            <v>106.60607142857131</v>
          </cell>
          <cell r="AA73">
            <v>123130.01249999987</v>
          </cell>
        </row>
        <row r="74">
          <cell r="E74">
            <v>2359</v>
          </cell>
          <cell r="F74" t="str">
            <v>Manor Lodge Community Primary and Nursery School</v>
          </cell>
          <cell r="G74">
            <v>333</v>
          </cell>
          <cell r="H74">
            <v>49</v>
          </cell>
          <cell r="I74">
            <v>284</v>
          </cell>
          <cell r="N74">
            <v>0</v>
          </cell>
          <cell r="O74">
            <v>0.40656565656565635</v>
          </cell>
          <cell r="P74">
            <v>0.40656565656565635</v>
          </cell>
          <cell r="S74">
            <v>115.46464646464641</v>
          </cell>
          <cell r="U74">
            <v>0</v>
          </cell>
          <cell r="W74">
            <v>0</v>
          </cell>
          <cell r="X74">
            <v>135.38636363636357</v>
          </cell>
          <cell r="Z74">
            <v>135.38636363636357</v>
          </cell>
          <cell r="AA74">
            <v>156371.24999999991</v>
          </cell>
        </row>
        <row r="75">
          <cell r="E75">
            <v>2012</v>
          </cell>
          <cell r="F75" t="str">
            <v>Mansel Primary</v>
          </cell>
          <cell r="G75">
            <v>399</v>
          </cell>
          <cell r="H75">
            <v>57</v>
          </cell>
          <cell r="I75">
            <v>342</v>
          </cell>
          <cell r="N75">
            <v>0</v>
          </cell>
          <cell r="O75">
            <v>0.34716859716859705</v>
          </cell>
          <cell r="P75">
            <v>0.34716859716859705</v>
          </cell>
          <cell r="S75">
            <v>118.73166023166019</v>
          </cell>
          <cell r="U75">
            <v>0</v>
          </cell>
          <cell r="W75">
            <v>0</v>
          </cell>
          <cell r="X75">
            <v>138.52027027027023</v>
          </cell>
          <cell r="Z75">
            <v>138.52027027027023</v>
          </cell>
          <cell r="AA75">
            <v>159990.91216216213</v>
          </cell>
        </row>
        <row r="76">
          <cell r="E76">
            <v>2079</v>
          </cell>
          <cell r="F76" t="str">
            <v>Marlcliffe Community Primary School</v>
          </cell>
          <cell r="G76">
            <v>501</v>
          </cell>
          <cell r="H76">
            <v>57</v>
          </cell>
          <cell r="I76">
            <v>444</v>
          </cell>
          <cell r="N76">
            <v>0</v>
          </cell>
          <cell r="O76">
            <v>0.2628175519630484</v>
          </cell>
          <cell r="P76">
            <v>0.2628175519630484</v>
          </cell>
          <cell r="S76">
            <v>116.6909930715935</v>
          </cell>
          <cell r="U76">
            <v>0</v>
          </cell>
          <cell r="W76">
            <v>0</v>
          </cell>
          <cell r="X76">
            <v>131.67159353348725</v>
          </cell>
          <cell r="Z76">
            <v>131.67159353348725</v>
          </cell>
          <cell r="AA76">
            <v>152080.69053117777</v>
          </cell>
        </row>
        <row r="77">
          <cell r="E77">
            <v>2081</v>
          </cell>
          <cell r="F77" t="str">
            <v>Meersbrook Bank Primary School</v>
          </cell>
          <cell r="G77">
            <v>207</v>
          </cell>
          <cell r="H77">
            <v>29</v>
          </cell>
          <cell r="I77">
            <v>178</v>
          </cell>
          <cell r="N77">
            <v>0</v>
          </cell>
          <cell r="O77">
            <v>0.17895362663495853</v>
          </cell>
          <cell r="P77">
            <v>0.17895362663495853</v>
          </cell>
          <cell r="S77">
            <v>31.853745541022619</v>
          </cell>
          <cell r="U77">
            <v>0</v>
          </cell>
          <cell r="W77">
            <v>0</v>
          </cell>
          <cell r="X77">
            <v>37.043400713436419</v>
          </cell>
          <cell r="Z77">
            <v>37.043400713436419</v>
          </cell>
          <cell r="AA77">
            <v>42785.127824019066</v>
          </cell>
        </row>
        <row r="78">
          <cell r="E78">
            <v>2013</v>
          </cell>
          <cell r="F78" t="str">
            <v>Meynell Community Primary School</v>
          </cell>
          <cell r="G78">
            <v>368</v>
          </cell>
          <cell r="H78">
            <v>60</v>
          </cell>
          <cell r="I78">
            <v>308</v>
          </cell>
          <cell r="N78">
            <v>0</v>
          </cell>
          <cell r="O78">
            <v>0.39998221906116643</v>
          </cell>
          <cell r="P78">
            <v>0.39998221906116643</v>
          </cell>
          <cell r="S78">
            <v>123.19452347083926</v>
          </cell>
          <cell r="U78">
            <v>0</v>
          </cell>
          <cell r="W78">
            <v>0</v>
          </cell>
          <cell r="X78">
            <v>147.19345661450924</v>
          </cell>
          <cell r="Z78">
            <v>147.19345661450924</v>
          </cell>
          <cell r="AA78">
            <v>170008.44238975819</v>
          </cell>
        </row>
        <row r="79">
          <cell r="E79">
            <v>2346</v>
          </cell>
          <cell r="F79" t="str">
            <v>Monteney Primary School</v>
          </cell>
          <cell r="G79">
            <v>404</v>
          </cell>
          <cell r="H79">
            <v>60</v>
          </cell>
          <cell r="I79">
            <v>344</v>
          </cell>
          <cell r="N79">
            <v>0</v>
          </cell>
          <cell r="O79">
            <v>0.28962188254223681</v>
          </cell>
          <cell r="P79">
            <v>0.28962188254223681</v>
          </cell>
          <cell r="S79">
            <v>99.629927594529462</v>
          </cell>
          <cell r="U79">
            <v>0</v>
          </cell>
          <cell r="W79">
            <v>0</v>
          </cell>
          <cell r="X79">
            <v>117.00724054706367</v>
          </cell>
          <cell r="Z79">
            <v>117.00724054706367</v>
          </cell>
          <cell r="AA79">
            <v>135143.36283185854</v>
          </cell>
        </row>
        <row r="80">
          <cell r="E80">
            <v>2257</v>
          </cell>
          <cell r="F80" t="str">
            <v>Mosborough Primary School</v>
          </cell>
          <cell r="G80">
            <v>418</v>
          </cell>
          <cell r="H80">
            <v>59</v>
          </cell>
          <cell r="I80">
            <v>359</v>
          </cell>
          <cell r="N80">
            <v>0</v>
          </cell>
          <cell r="O80">
            <v>0.16438547486033531</v>
          </cell>
          <cell r="P80">
            <v>0.16438547486033531</v>
          </cell>
          <cell r="S80">
            <v>59.014385474860376</v>
          </cell>
          <cell r="U80">
            <v>0</v>
          </cell>
          <cell r="W80">
            <v>0</v>
          </cell>
          <cell r="X80">
            <v>68.713128491620154</v>
          </cell>
          <cell r="Z80">
            <v>68.713128491620154</v>
          </cell>
          <cell r="AA80">
            <v>79363.663407821281</v>
          </cell>
        </row>
        <row r="81">
          <cell r="E81">
            <v>2092</v>
          </cell>
          <cell r="F81" t="str">
            <v>Mundella Primary School</v>
          </cell>
          <cell r="G81">
            <v>416</v>
          </cell>
          <cell r="H81">
            <v>60</v>
          </cell>
          <cell r="I81">
            <v>356</v>
          </cell>
          <cell r="N81">
            <v>0</v>
          </cell>
          <cell r="O81">
            <v>0.18130311614730887</v>
          </cell>
          <cell r="P81">
            <v>0.18130311614730887</v>
          </cell>
          <cell r="S81">
            <v>64.543909348441957</v>
          </cell>
          <cell r="U81">
            <v>0</v>
          </cell>
          <cell r="W81">
            <v>0</v>
          </cell>
          <cell r="X81">
            <v>75.422096317280491</v>
          </cell>
          <cell r="Z81">
            <v>75.422096317280491</v>
          </cell>
          <cell r="AA81">
            <v>87112.521246458971</v>
          </cell>
        </row>
        <row r="82">
          <cell r="E82">
            <v>2002</v>
          </cell>
          <cell r="F82" t="str">
            <v>Nether Edge Primary School</v>
          </cell>
          <cell r="G82">
            <v>419</v>
          </cell>
          <cell r="H82">
            <v>58</v>
          </cell>
          <cell r="I82">
            <v>361</v>
          </cell>
          <cell r="N82">
            <v>0</v>
          </cell>
          <cell r="O82">
            <v>0.35548589341692782</v>
          </cell>
          <cell r="P82">
            <v>0.35548589341692782</v>
          </cell>
          <cell r="S82">
            <v>128.33040752351096</v>
          </cell>
          <cell r="U82">
            <v>0</v>
          </cell>
          <cell r="W82">
            <v>0</v>
          </cell>
          <cell r="X82">
            <v>148.94858934169278</v>
          </cell>
          <cell r="Z82">
            <v>148.94858934169278</v>
          </cell>
          <cell r="AA82">
            <v>172035.62068965516</v>
          </cell>
        </row>
        <row r="83">
          <cell r="E83">
            <v>2221</v>
          </cell>
          <cell r="F83" t="str">
            <v>Nether Green Infant School</v>
          </cell>
          <cell r="G83">
            <v>223</v>
          </cell>
          <cell r="H83">
            <v>75</v>
          </cell>
          <cell r="I83">
            <v>148</v>
          </cell>
          <cell r="N83">
            <v>0</v>
          </cell>
          <cell r="O83">
            <v>0.23615001837602623</v>
          </cell>
          <cell r="P83">
            <v>0.23615001837602623</v>
          </cell>
          <cell r="S83">
            <v>34.950202719651884</v>
          </cell>
          <cell r="U83">
            <v>0</v>
          </cell>
          <cell r="W83">
            <v>0</v>
          </cell>
          <cell r="X83">
            <v>52.661454097853856</v>
          </cell>
          <cell r="Z83">
            <v>52.661454097853856</v>
          </cell>
          <cell r="AA83">
            <v>60823.979483021205</v>
          </cell>
        </row>
        <row r="84">
          <cell r="E84">
            <v>2087</v>
          </cell>
          <cell r="F84" t="str">
            <v>Nether Green Junior School</v>
          </cell>
          <cell r="G84">
            <v>377</v>
          </cell>
          <cell r="H84">
            <v>0</v>
          </cell>
          <cell r="I84">
            <v>377</v>
          </cell>
          <cell r="N84">
            <v>0</v>
          </cell>
          <cell r="O84">
            <v>0.2168115942028985</v>
          </cell>
          <cell r="P84">
            <v>0.2168115942028985</v>
          </cell>
          <cell r="S84">
            <v>81.737971014492729</v>
          </cell>
          <cell r="U84">
            <v>0</v>
          </cell>
          <cell r="W84">
            <v>0</v>
          </cell>
          <cell r="X84">
            <v>81.737971014492729</v>
          </cell>
          <cell r="Z84">
            <v>81.737971014492729</v>
          </cell>
          <cell r="AA84">
            <v>94407.356521739101</v>
          </cell>
        </row>
        <row r="85">
          <cell r="E85">
            <v>2272</v>
          </cell>
          <cell r="F85" t="str">
            <v>Netherthorpe Primary School</v>
          </cell>
          <cell r="G85">
            <v>217</v>
          </cell>
          <cell r="H85">
            <v>31</v>
          </cell>
          <cell r="I85">
            <v>186</v>
          </cell>
          <cell r="N85">
            <v>0</v>
          </cell>
          <cell r="O85">
            <v>0.56339712918660312</v>
          </cell>
          <cell r="P85">
            <v>0.56339712918660312</v>
          </cell>
          <cell r="S85">
            <v>104.79186602870818</v>
          </cell>
          <cell r="U85">
            <v>0</v>
          </cell>
          <cell r="W85">
            <v>0</v>
          </cell>
          <cell r="X85">
            <v>122.25717703349288</v>
          </cell>
          <cell r="Z85">
            <v>122.25717703349288</v>
          </cell>
          <cell r="AA85">
            <v>141207.03947368427</v>
          </cell>
        </row>
        <row r="86">
          <cell r="E86">
            <v>2309</v>
          </cell>
          <cell r="F86" t="str">
            <v>Nook Lane Junior School</v>
          </cell>
          <cell r="G86">
            <v>243</v>
          </cell>
          <cell r="H86">
            <v>0</v>
          </cell>
          <cell r="I86">
            <v>243</v>
          </cell>
          <cell r="N86">
            <v>0</v>
          </cell>
          <cell r="O86">
            <v>0.22909371060372577</v>
          </cell>
          <cell r="P86">
            <v>0.22909371060372577</v>
          </cell>
          <cell r="S86">
            <v>55.669771676705359</v>
          </cell>
          <cell r="U86">
            <v>0</v>
          </cell>
          <cell r="W86">
            <v>0</v>
          </cell>
          <cell r="X86">
            <v>55.669771676705359</v>
          </cell>
          <cell r="Z86">
            <v>55.669771676705359</v>
          </cell>
          <cell r="AA86">
            <v>64298.586286594691</v>
          </cell>
        </row>
        <row r="87">
          <cell r="E87">
            <v>2051</v>
          </cell>
          <cell r="F87" t="str">
            <v>Norfolk Community Primary School</v>
          </cell>
          <cell r="G87">
            <v>384</v>
          </cell>
          <cell r="H87">
            <v>43</v>
          </cell>
          <cell r="I87">
            <v>341</v>
          </cell>
          <cell r="N87">
            <v>0</v>
          </cell>
          <cell r="O87">
            <v>0.50000000000000011</v>
          </cell>
          <cell r="P87">
            <v>0.50000000000000011</v>
          </cell>
          <cell r="S87">
            <v>170.50000000000003</v>
          </cell>
          <cell r="U87">
            <v>0</v>
          </cell>
          <cell r="W87">
            <v>0</v>
          </cell>
          <cell r="X87">
            <v>192.00000000000006</v>
          </cell>
          <cell r="Z87">
            <v>192.00000000000006</v>
          </cell>
          <cell r="AA87">
            <v>221760.00000000006</v>
          </cell>
        </row>
        <row r="88">
          <cell r="E88">
            <v>3010</v>
          </cell>
          <cell r="F88" t="str">
            <v>Norton Free Church of England Primary School</v>
          </cell>
          <cell r="G88">
            <v>213</v>
          </cell>
          <cell r="H88">
            <v>31</v>
          </cell>
          <cell r="I88">
            <v>182</v>
          </cell>
          <cell r="N88">
            <v>0</v>
          </cell>
          <cell r="O88">
            <v>0.18139963167587489</v>
          </cell>
          <cell r="P88">
            <v>0.18139963167587489</v>
          </cell>
          <cell r="S88">
            <v>33.01473296500923</v>
          </cell>
          <cell r="U88">
            <v>0</v>
          </cell>
          <cell r="W88">
            <v>0</v>
          </cell>
          <cell r="X88">
            <v>38.638121546961351</v>
          </cell>
          <cell r="Z88">
            <v>38.638121546961351</v>
          </cell>
          <cell r="AA88">
            <v>44627.030386740364</v>
          </cell>
        </row>
        <row r="89">
          <cell r="E89">
            <v>2018</v>
          </cell>
          <cell r="F89" t="str">
            <v>Oasis Academy Fir Vale</v>
          </cell>
          <cell r="G89">
            <v>407</v>
          </cell>
          <cell r="H89">
            <v>48</v>
          </cell>
          <cell r="I89">
            <v>359</v>
          </cell>
          <cell r="N89">
            <v>0</v>
          </cell>
          <cell r="O89">
            <v>0.84519709146574795</v>
          </cell>
          <cell r="P89">
            <v>0.84519709146574795</v>
          </cell>
          <cell r="S89">
            <v>303.42575583620351</v>
          </cell>
          <cell r="U89">
            <v>0</v>
          </cell>
          <cell r="W89">
            <v>0</v>
          </cell>
          <cell r="X89">
            <v>343.99521622655942</v>
          </cell>
          <cell r="Z89">
            <v>343.99521622655942</v>
          </cell>
          <cell r="AA89">
            <v>397314.47474167612</v>
          </cell>
        </row>
        <row r="90">
          <cell r="E90">
            <v>2019</v>
          </cell>
          <cell r="F90" t="str">
            <v>Oasis Academy Watermead</v>
          </cell>
          <cell r="G90">
            <v>380</v>
          </cell>
          <cell r="H90">
            <v>56</v>
          </cell>
          <cell r="I90">
            <v>324</v>
          </cell>
          <cell r="N90">
            <v>0</v>
          </cell>
          <cell r="O90">
            <v>0.28664782762274854</v>
          </cell>
          <cell r="P90">
            <v>0.28664782762274854</v>
          </cell>
          <cell r="S90">
            <v>92.87389614977053</v>
          </cell>
          <cell r="U90">
            <v>0</v>
          </cell>
          <cell r="W90">
            <v>0</v>
          </cell>
          <cell r="X90">
            <v>108.92617449664445</v>
          </cell>
          <cell r="Z90">
            <v>108.92617449664445</v>
          </cell>
          <cell r="AA90">
            <v>125809.73154362434</v>
          </cell>
        </row>
        <row r="91">
          <cell r="E91">
            <v>2313</v>
          </cell>
          <cell r="F91" t="str">
            <v>Oughtibridge Primary School</v>
          </cell>
          <cell r="G91">
            <v>417</v>
          </cell>
          <cell r="H91">
            <v>60</v>
          </cell>
          <cell r="I91">
            <v>357</v>
          </cell>
          <cell r="N91">
            <v>0</v>
          </cell>
          <cell r="O91">
            <v>0.15565945840639017</v>
          </cell>
          <cell r="P91">
            <v>0.15565945840639017</v>
          </cell>
          <cell r="S91">
            <v>55.570426651081291</v>
          </cell>
          <cell r="U91">
            <v>0</v>
          </cell>
          <cell r="W91">
            <v>0</v>
          </cell>
          <cell r="X91">
            <v>64.909994155464702</v>
          </cell>
          <cell r="Z91">
            <v>64.909994155464702</v>
          </cell>
          <cell r="AA91">
            <v>74971.043249561728</v>
          </cell>
        </row>
        <row r="92">
          <cell r="E92">
            <v>2093</v>
          </cell>
          <cell r="F92" t="str">
            <v>Owler Brook Primary School</v>
          </cell>
          <cell r="G92">
            <v>400</v>
          </cell>
          <cell r="H92">
            <v>55</v>
          </cell>
          <cell r="I92">
            <v>345</v>
          </cell>
          <cell r="N92">
            <v>0</v>
          </cell>
          <cell r="O92">
            <v>0.54377129314175687</v>
          </cell>
          <cell r="P92">
            <v>0.54377129314175687</v>
          </cell>
          <cell r="S92">
            <v>187.60109613390611</v>
          </cell>
          <cell r="U92">
            <v>0</v>
          </cell>
          <cell r="W92">
            <v>0</v>
          </cell>
          <cell r="X92">
            <v>217.50851725670276</v>
          </cell>
          <cell r="Z92">
            <v>217.50851725670276</v>
          </cell>
          <cell r="AA92">
            <v>251222.3374314917</v>
          </cell>
        </row>
        <row r="93">
          <cell r="E93">
            <v>3428</v>
          </cell>
          <cell r="F93" t="str">
            <v>Parson Cross Church of England Primary School</v>
          </cell>
          <cell r="G93">
            <v>203</v>
          </cell>
          <cell r="H93">
            <v>30</v>
          </cell>
          <cell r="I93">
            <v>173</v>
          </cell>
          <cell r="N93">
            <v>0</v>
          </cell>
          <cell r="O93">
            <v>0.25581395348837216</v>
          </cell>
          <cell r="P93">
            <v>0.25581395348837216</v>
          </cell>
          <cell r="S93">
            <v>44.255813953488385</v>
          </cell>
          <cell r="U93">
            <v>0</v>
          </cell>
          <cell r="W93">
            <v>0</v>
          </cell>
          <cell r="X93">
            <v>51.930232558139551</v>
          </cell>
          <cell r="Z93">
            <v>51.930232558139551</v>
          </cell>
          <cell r="AA93">
            <v>59979.418604651182</v>
          </cell>
        </row>
        <row r="94">
          <cell r="E94">
            <v>2332</v>
          </cell>
          <cell r="F94" t="str">
            <v>Phillimore Community Primary School</v>
          </cell>
          <cell r="G94">
            <v>388</v>
          </cell>
          <cell r="H94">
            <v>43</v>
          </cell>
          <cell r="I94">
            <v>345</v>
          </cell>
          <cell r="N94">
            <v>0</v>
          </cell>
          <cell r="O94">
            <v>0.42977199649225373</v>
          </cell>
          <cell r="P94">
            <v>0.42977199649225373</v>
          </cell>
          <cell r="S94">
            <v>148.27133878982752</v>
          </cell>
          <cell r="U94">
            <v>0</v>
          </cell>
          <cell r="W94">
            <v>0</v>
          </cell>
          <cell r="X94">
            <v>166.75153463899443</v>
          </cell>
          <cell r="Z94">
            <v>166.75153463899443</v>
          </cell>
          <cell r="AA94">
            <v>192598.02250803856</v>
          </cell>
        </row>
        <row r="95">
          <cell r="E95">
            <v>3433</v>
          </cell>
          <cell r="F95" t="str">
            <v>Pipworth Community Primary School</v>
          </cell>
          <cell r="G95">
            <v>394</v>
          </cell>
          <cell r="H95">
            <v>43</v>
          </cell>
          <cell r="I95">
            <v>351</v>
          </cell>
          <cell r="N95">
            <v>0</v>
          </cell>
          <cell r="O95">
            <v>0.40241691842900301</v>
          </cell>
          <cell r="P95">
            <v>0.40241691842900301</v>
          </cell>
          <cell r="S95">
            <v>141.24833836858005</v>
          </cell>
          <cell r="U95">
            <v>0</v>
          </cell>
          <cell r="W95">
            <v>0</v>
          </cell>
          <cell r="X95">
            <v>158.55226586102719</v>
          </cell>
          <cell r="Z95">
            <v>158.55226586102719</v>
          </cell>
          <cell r="AA95">
            <v>183127.86706948641</v>
          </cell>
        </row>
        <row r="96">
          <cell r="E96">
            <v>3427</v>
          </cell>
          <cell r="F96" t="str">
            <v>Porter Croft Church of England Primary Academy</v>
          </cell>
          <cell r="G96">
            <v>214</v>
          </cell>
          <cell r="H96">
            <v>30</v>
          </cell>
          <cell r="I96">
            <v>184</v>
          </cell>
          <cell r="N96">
            <v>0</v>
          </cell>
          <cell r="O96">
            <v>0.37226652945716493</v>
          </cell>
          <cell r="P96">
            <v>0.37226652945716493</v>
          </cell>
          <cell r="S96">
            <v>68.49704142011835</v>
          </cell>
          <cell r="U96">
            <v>0</v>
          </cell>
          <cell r="W96">
            <v>0</v>
          </cell>
          <cell r="X96">
            <v>79.665037303833302</v>
          </cell>
          <cell r="Z96">
            <v>79.665037303833302</v>
          </cell>
          <cell r="AA96">
            <v>92013.118085927461</v>
          </cell>
        </row>
        <row r="97">
          <cell r="E97">
            <v>2347</v>
          </cell>
          <cell r="F97" t="str">
            <v>Prince Edward Primary School</v>
          </cell>
          <cell r="G97">
            <v>407</v>
          </cell>
          <cell r="H97">
            <v>58</v>
          </cell>
          <cell r="I97">
            <v>349</v>
          </cell>
          <cell r="N97">
            <v>0</v>
          </cell>
          <cell r="O97">
            <v>0.4306402439024391</v>
          </cell>
          <cell r="P97">
            <v>0.4306402439024391</v>
          </cell>
          <cell r="S97">
            <v>150.29344512195124</v>
          </cell>
          <cell r="U97">
            <v>0</v>
          </cell>
          <cell r="W97">
            <v>0</v>
          </cell>
          <cell r="X97">
            <v>175.27057926829272</v>
          </cell>
          <cell r="Z97">
            <v>175.27057926829272</v>
          </cell>
          <cell r="AA97">
            <v>202437.5190548781</v>
          </cell>
        </row>
        <row r="98">
          <cell r="E98">
            <v>2366</v>
          </cell>
          <cell r="F98" t="str">
            <v>Pye Bank CofE Primary School</v>
          </cell>
          <cell r="G98">
            <v>423</v>
          </cell>
          <cell r="H98">
            <v>57</v>
          </cell>
          <cell r="I98">
            <v>366</v>
          </cell>
          <cell r="N98">
            <v>0</v>
          </cell>
          <cell r="O98">
            <v>0.29823481116584588</v>
          </cell>
          <cell r="P98">
            <v>0.29823481116584588</v>
          </cell>
          <cell r="S98">
            <v>109.15394088669959</v>
          </cell>
          <cell r="U98">
            <v>0</v>
          </cell>
          <cell r="W98">
            <v>0</v>
          </cell>
          <cell r="X98">
            <v>126.15332512315281</v>
          </cell>
          <cell r="Z98">
            <v>126.15332512315281</v>
          </cell>
          <cell r="AA98">
            <v>145707.09051724151</v>
          </cell>
        </row>
        <row r="99">
          <cell r="E99">
            <v>2363</v>
          </cell>
          <cell r="F99" t="str">
            <v>Rainbow Forge Primary Academy</v>
          </cell>
          <cell r="G99">
            <v>297</v>
          </cell>
          <cell r="H99">
            <v>45</v>
          </cell>
          <cell r="I99">
            <v>252</v>
          </cell>
          <cell r="N99">
            <v>0</v>
          </cell>
          <cell r="O99">
            <v>0.27123126652953267</v>
          </cell>
          <cell r="P99">
            <v>0.27123126652953267</v>
          </cell>
          <cell r="S99">
            <v>68.350279165442231</v>
          </cell>
          <cell r="U99">
            <v>0</v>
          </cell>
          <cell r="W99">
            <v>0</v>
          </cell>
          <cell r="X99">
            <v>80.555686159271204</v>
          </cell>
          <cell r="Z99">
            <v>80.555686159271204</v>
          </cell>
          <cell r="AA99">
            <v>93041.817513958245</v>
          </cell>
        </row>
        <row r="100">
          <cell r="E100">
            <v>2334</v>
          </cell>
          <cell r="F100" t="str">
            <v>Reignhead Primary School</v>
          </cell>
          <cell r="G100">
            <v>244</v>
          </cell>
          <cell r="H100">
            <v>22</v>
          </cell>
          <cell r="I100">
            <v>222</v>
          </cell>
          <cell r="N100">
            <v>0</v>
          </cell>
          <cell r="O100">
            <v>0.31050228310502248</v>
          </cell>
          <cell r="P100">
            <v>0.31050228310502248</v>
          </cell>
          <cell r="S100">
            <v>68.931506849314985</v>
          </cell>
          <cell r="U100">
            <v>0</v>
          </cell>
          <cell r="W100">
            <v>0</v>
          </cell>
          <cell r="X100">
            <v>75.762557077625488</v>
          </cell>
          <cell r="Z100">
            <v>75.762557077625488</v>
          </cell>
          <cell r="AA100">
            <v>87505.753424657436</v>
          </cell>
        </row>
        <row r="101">
          <cell r="E101">
            <v>2338</v>
          </cell>
          <cell r="F101" t="str">
            <v>Rivelin Primary School</v>
          </cell>
          <cell r="G101">
            <v>351</v>
          </cell>
          <cell r="H101">
            <v>38</v>
          </cell>
          <cell r="I101">
            <v>313</v>
          </cell>
          <cell r="N101">
            <v>0</v>
          </cell>
          <cell r="O101">
            <v>0.28172355732435322</v>
          </cell>
          <cell r="P101">
            <v>0.28172355732435322</v>
          </cell>
          <cell r="S101">
            <v>88.179473442522564</v>
          </cell>
          <cell r="U101">
            <v>0</v>
          </cell>
          <cell r="W101">
            <v>0</v>
          </cell>
          <cell r="X101">
            <v>98.884968620847985</v>
          </cell>
          <cell r="Z101">
            <v>98.884968620847985</v>
          </cell>
          <cell r="AA101">
            <v>114212.13875707942</v>
          </cell>
        </row>
        <row r="102">
          <cell r="E102">
            <v>2306</v>
          </cell>
          <cell r="F102" t="str">
            <v>Royd Nursery and Infant School</v>
          </cell>
          <cell r="G102">
            <v>122</v>
          </cell>
          <cell r="H102">
            <v>33</v>
          </cell>
          <cell r="I102">
            <v>89</v>
          </cell>
          <cell r="N102">
            <v>0</v>
          </cell>
          <cell r="O102">
            <v>0.28660548130603963</v>
          </cell>
          <cell r="P102">
            <v>0.28660548130603963</v>
          </cell>
          <cell r="S102">
            <v>25.507887836237526</v>
          </cell>
          <cell r="U102">
            <v>0</v>
          </cell>
          <cell r="W102">
            <v>0</v>
          </cell>
          <cell r="X102">
            <v>34.965868719336832</v>
          </cell>
          <cell r="Z102">
            <v>34.965868719336832</v>
          </cell>
          <cell r="AA102">
            <v>40385.578370834039</v>
          </cell>
        </row>
        <row r="103">
          <cell r="E103">
            <v>3401</v>
          </cell>
          <cell r="F103" t="str">
            <v>Sacred Heart School, A Catholic Voluntary Academy</v>
          </cell>
          <cell r="G103">
            <v>200</v>
          </cell>
          <cell r="H103">
            <v>22</v>
          </cell>
          <cell r="I103">
            <v>178</v>
          </cell>
          <cell r="N103">
            <v>0</v>
          </cell>
          <cell r="O103">
            <v>0.2560664112388249</v>
          </cell>
          <cell r="P103">
            <v>0.2560664112388249</v>
          </cell>
          <cell r="S103">
            <v>45.579821200510835</v>
          </cell>
          <cell r="U103">
            <v>0</v>
          </cell>
          <cell r="W103">
            <v>0</v>
          </cell>
          <cell r="X103">
            <v>51.21328224776498</v>
          </cell>
          <cell r="Z103">
            <v>51.21328224776498</v>
          </cell>
          <cell r="AA103">
            <v>59151.340996168554</v>
          </cell>
        </row>
        <row r="104">
          <cell r="E104">
            <v>2369</v>
          </cell>
          <cell r="F104" t="str">
            <v>Sharrow Nursery, Infant and Junior School</v>
          </cell>
          <cell r="G104">
            <v>417</v>
          </cell>
          <cell r="H104">
            <v>59</v>
          </cell>
          <cell r="I104">
            <v>358</v>
          </cell>
          <cell r="N104">
            <v>0</v>
          </cell>
          <cell r="O104">
            <v>0.36928792569659441</v>
          </cell>
          <cell r="P104">
            <v>0.36928792569659441</v>
          </cell>
          <cell r="S104">
            <v>132.2050773993808</v>
          </cell>
          <cell r="U104">
            <v>0</v>
          </cell>
          <cell r="W104">
            <v>0</v>
          </cell>
          <cell r="X104">
            <v>153.99306501547986</v>
          </cell>
          <cell r="Z104">
            <v>153.99306501547986</v>
          </cell>
          <cell r="AA104">
            <v>177861.99009287925</v>
          </cell>
        </row>
        <row r="105">
          <cell r="E105">
            <v>2349</v>
          </cell>
          <cell r="F105" t="str">
            <v>Shooter's Grove Primary School</v>
          </cell>
          <cell r="G105">
            <v>359</v>
          </cell>
          <cell r="H105">
            <v>49</v>
          </cell>
          <cell r="I105">
            <v>310</v>
          </cell>
          <cell r="N105">
            <v>0</v>
          </cell>
          <cell r="O105">
            <v>0.23247863247863212</v>
          </cell>
          <cell r="P105">
            <v>0.23247863247863212</v>
          </cell>
          <cell r="S105">
            <v>72.068376068375954</v>
          </cell>
          <cell r="U105">
            <v>0</v>
          </cell>
          <cell r="W105">
            <v>0</v>
          </cell>
          <cell r="X105">
            <v>83.459829059828934</v>
          </cell>
          <cell r="Z105">
            <v>83.459829059828934</v>
          </cell>
          <cell r="AA105">
            <v>96396.102564102417</v>
          </cell>
        </row>
        <row r="106">
          <cell r="E106">
            <v>2360</v>
          </cell>
          <cell r="F106" t="str">
            <v>Shortbrook Primary School</v>
          </cell>
          <cell r="G106">
            <v>84</v>
          </cell>
          <cell r="H106">
            <v>13</v>
          </cell>
          <cell r="I106">
            <v>71</v>
          </cell>
          <cell r="N106">
            <v>0</v>
          </cell>
          <cell r="O106">
            <v>0.32505175983436857</v>
          </cell>
          <cell r="P106">
            <v>0.32505175983436857</v>
          </cell>
          <cell r="S106">
            <v>23.078674948240167</v>
          </cell>
          <cell r="U106">
            <v>0</v>
          </cell>
          <cell r="W106">
            <v>0</v>
          </cell>
          <cell r="X106">
            <v>27.304347826086961</v>
          </cell>
          <cell r="Z106">
            <v>27.304347826086961</v>
          </cell>
          <cell r="AA106">
            <v>31536.52173913044</v>
          </cell>
        </row>
        <row r="107">
          <cell r="E107">
            <v>2009</v>
          </cell>
          <cell r="F107" t="str">
            <v>Southey Green Primary School and Nurseries</v>
          </cell>
          <cell r="G107">
            <v>611</v>
          </cell>
          <cell r="H107">
            <v>89</v>
          </cell>
          <cell r="I107">
            <v>522</v>
          </cell>
          <cell r="N107">
            <v>0</v>
          </cell>
          <cell r="O107">
            <v>0.39152151639344251</v>
          </cell>
          <cell r="P107">
            <v>0.39152151639344251</v>
          </cell>
          <cell r="S107">
            <v>204.37423155737699</v>
          </cell>
          <cell r="U107">
            <v>0</v>
          </cell>
          <cell r="W107">
            <v>0</v>
          </cell>
          <cell r="X107">
            <v>239.21964651639337</v>
          </cell>
          <cell r="Z107">
            <v>239.21964651639337</v>
          </cell>
          <cell r="AA107">
            <v>276298.69172643434</v>
          </cell>
        </row>
        <row r="108">
          <cell r="E108">
            <v>2329</v>
          </cell>
          <cell r="F108" t="str">
            <v>Springfield Primary School</v>
          </cell>
          <cell r="G108">
            <v>208</v>
          </cell>
          <cell r="H108">
            <v>30</v>
          </cell>
          <cell r="I108">
            <v>178</v>
          </cell>
          <cell r="N108">
            <v>0</v>
          </cell>
          <cell r="O108">
            <v>0.31343283582089526</v>
          </cell>
          <cell r="P108">
            <v>0.31343283582089526</v>
          </cell>
          <cell r="S108">
            <v>55.791044776119357</v>
          </cell>
          <cell r="U108">
            <v>0</v>
          </cell>
          <cell r="W108">
            <v>0</v>
          </cell>
          <cell r="X108">
            <v>65.194029850746219</v>
          </cell>
          <cell r="Z108">
            <v>65.194029850746219</v>
          </cell>
          <cell r="AA108">
            <v>75299.10447761188</v>
          </cell>
        </row>
        <row r="109">
          <cell r="E109">
            <v>5202</v>
          </cell>
          <cell r="F109" t="str">
            <v>St Ann's Catholic Primary School, A Voluntary Academy</v>
          </cell>
          <cell r="G109">
            <v>99</v>
          </cell>
          <cell r="H109">
            <v>19</v>
          </cell>
          <cell r="I109">
            <v>80</v>
          </cell>
          <cell r="N109">
            <v>0</v>
          </cell>
          <cell r="O109">
            <v>0.21139240506329113</v>
          </cell>
          <cell r="P109">
            <v>0.21139240506329113</v>
          </cell>
          <cell r="S109">
            <v>16.911392405063289</v>
          </cell>
          <cell r="U109">
            <v>0</v>
          </cell>
          <cell r="W109">
            <v>0</v>
          </cell>
          <cell r="X109">
            <v>20.92784810126582</v>
          </cell>
          <cell r="Z109">
            <v>20.92784810126582</v>
          </cell>
          <cell r="AA109">
            <v>24171.664556962023</v>
          </cell>
        </row>
        <row r="110">
          <cell r="E110">
            <v>3402</v>
          </cell>
          <cell r="F110" t="str">
            <v>St Catherine's Catholic Primary School (Hallam)</v>
          </cell>
          <cell r="G110">
            <v>421</v>
          </cell>
          <cell r="H110">
            <v>61</v>
          </cell>
          <cell r="I110">
            <v>360</v>
          </cell>
          <cell r="N110">
            <v>0</v>
          </cell>
          <cell r="O110">
            <v>0.28333665537173597</v>
          </cell>
          <cell r="P110">
            <v>0.28333665537173597</v>
          </cell>
          <cell r="S110">
            <v>102.00119593382495</v>
          </cell>
          <cell r="U110">
            <v>0</v>
          </cell>
          <cell r="W110">
            <v>0</v>
          </cell>
          <cell r="X110">
            <v>119.28473191150084</v>
          </cell>
          <cell r="Z110">
            <v>119.28473191150084</v>
          </cell>
          <cell r="AA110">
            <v>137773.86535778348</v>
          </cell>
        </row>
        <row r="111">
          <cell r="E111">
            <v>2017</v>
          </cell>
          <cell r="F111" t="str">
            <v>St John Fisher Primary, A Catholic Voluntary Academy</v>
          </cell>
          <cell r="G111">
            <v>208</v>
          </cell>
          <cell r="H111">
            <v>30</v>
          </cell>
          <cell r="I111">
            <v>178</v>
          </cell>
          <cell r="N111">
            <v>0</v>
          </cell>
          <cell r="O111">
            <v>0.24129971590909083</v>
          </cell>
          <cell r="P111">
            <v>0.24129971590909083</v>
          </cell>
          <cell r="S111">
            <v>42.951349431818166</v>
          </cell>
          <cell r="U111">
            <v>0</v>
          </cell>
          <cell r="W111">
            <v>0</v>
          </cell>
          <cell r="X111">
            <v>50.190340909090892</v>
          </cell>
          <cell r="Z111">
            <v>50.190340909090892</v>
          </cell>
          <cell r="AA111">
            <v>57969.843749999978</v>
          </cell>
        </row>
        <row r="112">
          <cell r="E112">
            <v>5203</v>
          </cell>
          <cell r="F112" t="str">
            <v>St Joseph's Primary School</v>
          </cell>
          <cell r="G112">
            <v>207</v>
          </cell>
          <cell r="H112">
            <v>30</v>
          </cell>
          <cell r="I112">
            <v>177</v>
          </cell>
          <cell r="N112">
            <v>0</v>
          </cell>
          <cell r="O112">
            <v>0.3134065934065936</v>
          </cell>
          <cell r="P112">
            <v>0.3134065934065936</v>
          </cell>
          <cell r="S112">
            <v>55.47296703296707</v>
          </cell>
          <cell r="U112">
            <v>0</v>
          </cell>
          <cell r="W112">
            <v>0</v>
          </cell>
          <cell r="X112">
            <v>64.875164835164881</v>
          </cell>
          <cell r="Z112">
            <v>64.875164835164881</v>
          </cell>
          <cell r="AA112">
            <v>74930.815384615431</v>
          </cell>
        </row>
        <row r="113">
          <cell r="E113">
            <v>3406</v>
          </cell>
          <cell r="F113" t="str">
            <v>St Marie's School, A Catholic Voluntary Academy</v>
          </cell>
          <cell r="G113">
            <v>216</v>
          </cell>
          <cell r="H113">
            <v>25</v>
          </cell>
          <cell r="I113">
            <v>191</v>
          </cell>
          <cell r="N113">
            <v>0</v>
          </cell>
          <cell r="O113">
            <v>0.12905405405405393</v>
          </cell>
          <cell r="P113">
            <v>0.12905405405405393</v>
          </cell>
          <cell r="S113">
            <v>24.649324324324301</v>
          </cell>
          <cell r="U113">
            <v>0</v>
          </cell>
          <cell r="W113">
            <v>0</v>
          </cell>
          <cell r="X113">
            <v>27.875675675675648</v>
          </cell>
          <cell r="Z113">
            <v>27.875675675675648</v>
          </cell>
          <cell r="AA113">
            <v>32196.405405405374</v>
          </cell>
        </row>
        <row r="114">
          <cell r="E114">
            <v>2020</v>
          </cell>
          <cell r="F114" t="str">
            <v>St Mary's Church of England Primary School</v>
          </cell>
          <cell r="G114">
            <v>204</v>
          </cell>
          <cell r="H114">
            <v>29</v>
          </cell>
          <cell r="I114">
            <v>175</v>
          </cell>
          <cell r="N114">
            <v>0</v>
          </cell>
          <cell r="O114">
            <v>0.21624266144814111</v>
          </cell>
          <cell r="P114">
            <v>0.21624266144814111</v>
          </cell>
          <cell r="S114">
            <v>37.842465753424698</v>
          </cell>
          <cell r="U114">
            <v>0</v>
          </cell>
          <cell r="W114">
            <v>0</v>
          </cell>
          <cell r="X114">
            <v>44.11350293542079</v>
          </cell>
          <cell r="Z114">
            <v>44.11350293542079</v>
          </cell>
          <cell r="AA114">
            <v>50951.095890411016</v>
          </cell>
        </row>
        <row r="115">
          <cell r="E115">
            <v>3423</v>
          </cell>
          <cell r="F115" t="str">
            <v>St Mary's Primary School, A Catholic Voluntary Academy</v>
          </cell>
          <cell r="G115">
            <v>176</v>
          </cell>
          <cell r="H115">
            <v>18</v>
          </cell>
          <cell r="I115">
            <v>158</v>
          </cell>
          <cell r="N115">
            <v>0</v>
          </cell>
          <cell r="O115">
            <v>0.17264498826684549</v>
          </cell>
          <cell r="P115">
            <v>0.17264498826684549</v>
          </cell>
          <cell r="S115">
            <v>27.277908146161586</v>
          </cell>
          <cell r="U115">
            <v>0</v>
          </cell>
          <cell r="W115">
            <v>0</v>
          </cell>
          <cell r="X115">
            <v>30.385517934964806</v>
          </cell>
          <cell r="Z115">
            <v>30.385517934964806</v>
          </cell>
          <cell r="AA115">
            <v>35095.27321488435</v>
          </cell>
        </row>
        <row r="116">
          <cell r="E116">
            <v>5207</v>
          </cell>
          <cell r="F116" t="str">
            <v>St Patrick's Catholic Voluntary Academy</v>
          </cell>
          <cell r="G116">
            <v>279</v>
          </cell>
          <cell r="H116">
            <v>40</v>
          </cell>
          <cell r="I116">
            <v>239</v>
          </cell>
          <cell r="N116">
            <v>0</v>
          </cell>
          <cell r="O116">
            <v>0.3039345711759503</v>
          </cell>
          <cell r="P116">
            <v>0.3039345711759503</v>
          </cell>
          <cell r="S116">
            <v>72.640362511052118</v>
          </cell>
          <cell r="U116">
            <v>0</v>
          </cell>
          <cell r="W116">
            <v>0</v>
          </cell>
          <cell r="X116">
            <v>84.79774535809014</v>
          </cell>
          <cell r="Z116">
            <v>84.79774535809014</v>
          </cell>
          <cell r="AA116">
            <v>97941.39588859411</v>
          </cell>
        </row>
        <row r="117">
          <cell r="E117">
            <v>5208</v>
          </cell>
          <cell r="F117" t="str">
            <v>St Theresa's Catholic Primary School</v>
          </cell>
          <cell r="G117">
            <v>207</v>
          </cell>
          <cell r="H117">
            <v>30</v>
          </cell>
          <cell r="I117">
            <v>177</v>
          </cell>
          <cell r="N117">
            <v>0</v>
          </cell>
          <cell r="O117">
            <v>0.34104046242774599</v>
          </cell>
          <cell r="P117">
            <v>0.34104046242774599</v>
          </cell>
          <cell r="S117">
            <v>60.364161849711039</v>
          </cell>
          <cell r="U117">
            <v>0</v>
          </cell>
          <cell r="W117">
            <v>0</v>
          </cell>
          <cell r="X117">
            <v>70.595375722543423</v>
          </cell>
          <cell r="Z117">
            <v>70.595375722543423</v>
          </cell>
          <cell r="AA117">
            <v>81537.658959537657</v>
          </cell>
        </row>
        <row r="118">
          <cell r="E118">
            <v>3424</v>
          </cell>
          <cell r="F118" t="str">
            <v>St Thomas More Catholic Primary, A Voluntary Academy</v>
          </cell>
          <cell r="G118">
            <v>208</v>
          </cell>
          <cell r="H118">
            <v>30</v>
          </cell>
          <cell r="I118">
            <v>178</v>
          </cell>
          <cell r="N118">
            <v>0</v>
          </cell>
          <cell r="O118">
            <v>0.26553672316384203</v>
          </cell>
          <cell r="P118">
            <v>0.26553672316384203</v>
          </cell>
          <cell r="S118">
            <v>47.265536723163883</v>
          </cell>
          <cell r="U118">
            <v>0</v>
          </cell>
          <cell r="W118">
            <v>0</v>
          </cell>
          <cell r="X118">
            <v>55.231638418079143</v>
          </cell>
          <cell r="Z118">
            <v>55.231638418079143</v>
          </cell>
          <cell r="AA118">
            <v>63792.542372881413</v>
          </cell>
        </row>
        <row r="119">
          <cell r="E119">
            <v>3414</v>
          </cell>
          <cell r="F119" t="str">
            <v>St Thomas of Canterbury School, a Catholic Voluntary Academy</v>
          </cell>
          <cell r="G119">
            <v>210</v>
          </cell>
          <cell r="H119">
            <v>32</v>
          </cell>
          <cell r="I119">
            <v>178</v>
          </cell>
          <cell r="N119">
            <v>0</v>
          </cell>
          <cell r="O119">
            <v>0.1558441558441559</v>
          </cell>
          <cell r="P119">
            <v>0.1558441558441559</v>
          </cell>
          <cell r="S119">
            <v>27.740259740259749</v>
          </cell>
          <cell r="U119">
            <v>0</v>
          </cell>
          <cell r="W119">
            <v>0</v>
          </cell>
          <cell r="X119">
            <v>32.727272727272741</v>
          </cell>
          <cell r="Z119">
            <v>32.727272727272741</v>
          </cell>
          <cell r="AA119">
            <v>37800.000000000015</v>
          </cell>
        </row>
        <row r="120">
          <cell r="E120">
            <v>3412</v>
          </cell>
          <cell r="F120" t="str">
            <v>St Wilfrid's Catholic Primary School</v>
          </cell>
          <cell r="G120">
            <v>297</v>
          </cell>
          <cell r="H120">
            <v>33</v>
          </cell>
          <cell r="I120">
            <v>264</v>
          </cell>
          <cell r="N120">
            <v>0</v>
          </cell>
          <cell r="O120">
            <v>5.8516483516483496E-2</v>
          </cell>
          <cell r="P120">
            <v>5.8516483516483496E-2</v>
          </cell>
          <cell r="S120">
            <v>15.448351648351643</v>
          </cell>
          <cell r="U120">
            <v>0</v>
          </cell>
          <cell r="W120">
            <v>0</v>
          </cell>
          <cell r="X120">
            <v>17.379395604395597</v>
          </cell>
          <cell r="Z120">
            <v>17.379395604395597</v>
          </cell>
          <cell r="AA120">
            <v>20073.201923076915</v>
          </cell>
        </row>
        <row r="121">
          <cell r="E121">
            <v>2294</v>
          </cell>
          <cell r="F121" t="str">
            <v>Stannington Infant School</v>
          </cell>
          <cell r="G121">
            <v>181</v>
          </cell>
          <cell r="H121">
            <v>60</v>
          </cell>
          <cell r="I121">
            <v>121</v>
          </cell>
          <cell r="N121">
            <v>0</v>
          </cell>
          <cell r="O121">
            <v>0.29545419591712319</v>
          </cell>
          <cell r="P121">
            <v>0.29545419591712319</v>
          </cell>
          <cell r="S121">
            <v>35.749957705971909</v>
          </cell>
          <cell r="U121">
            <v>0</v>
          </cell>
          <cell r="W121">
            <v>0</v>
          </cell>
          <cell r="X121">
            <v>53.477209460999298</v>
          </cell>
          <cell r="Z121">
            <v>53.477209460999298</v>
          </cell>
          <cell r="AA121">
            <v>61766.176927454188</v>
          </cell>
        </row>
        <row r="122">
          <cell r="E122">
            <v>2303</v>
          </cell>
          <cell r="F122" t="str">
            <v>Stocksbridge Junior School</v>
          </cell>
          <cell r="G122">
            <v>295</v>
          </cell>
          <cell r="H122">
            <v>0</v>
          </cell>
          <cell r="I122">
            <v>295</v>
          </cell>
          <cell r="N122">
            <v>0</v>
          </cell>
          <cell r="O122">
            <v>0.31896465903434523</v>
          </cell>
          <cell r="P122">
            <v>0.31896465903434523</v>
          </cell>
          <cell r="S122">
            <v>94.094574415131845</v>
          </cell>
          <cell r="U122">
            <v>0</v>
          </cell>
          <cell r="W122">
            <v>0</v>
          </cell>
          <cell r="X122">
            <v>94.094574415131845</v>
          </cell>
          <cell r="Z122">
            <v>94.094574415131845</v>
          </cell>
          <cell r="AA122">
            <v>108679.23344947728</v>
          </cell>
        </row>
        <row r="123">
          <cell r="E123">
            <v>2302</v>
          </cell>
          <cell r="F123" t="str">
            <v>Stocksbridge Nursery Infant School</v>
          </cell>
          <cell r="G123">
            <v>198</v>
          </cell>
          <cell r="H123">
            <v>58</v>
          </cell>
          <cell r="I123">
            <v>140</v>
          </cell>
          <cell r="N123">
            <v>0</v>
          </cell>
          <cell r="O123">
            <v>0.41245988152803748</v>
          </cell>
          <cell r="P123">
            <v>0.41245988152803748</v>
          </cell>
          <cell r="S123">
            <v>57.744383413925249</v>
          </cell>
          <cell r="U123">
            <v>0</v>
          </cell>
          <cell r="W123">
            <v>0</v>
          </cell>
          <cell r="X123">
            <v>81.667056542551421</v>
          </cell>
          <cell r="Z123">
            <v>81.667056542551421</v>
          </cell>
          <cell r="AA123">
            <v>94325.45030664689</v>
          </cell>
        </row>
        <row r="124">
          <cell r="E124">
            <v>2350</v>
          </cell>
          <cell r="F124" t="str">
            <v>Stradbroke Primary School</v>
          </cell>
          <cell r="G124">
            <v>411</v>
          </cell>
          <cell r="H124">
            <v>58</v>
          </cell>
          <cell r="I124">
            <v>353</v>
          </cell>
          <cell r="N124">
            <v>0</v>
          </cell>
          <cell r="O124">
            <v>0.44159544159544178</v>
          </cell>
          <cell r="P124">
            <v>0.44159544159544178</v>
          </cell>
          <cell r="S124">
            <v>155.88319088319096</v>
          </cell>
          <cell r="U124">
            <v>0</v>
          </cell>
          <cell r="W124">
            <v>0</v>
          </cell>
          <cell r="X124">
            <v>181.49572649572659</v>
          </cell>
          <cell r="Z124">
            <v>181.49572649572659</v>
          </cell>
          <cell r="AA124">
            <v>209627.56410256421</v>
          </cell>
        </row>
        <row r="125">
          <cell r="E125">
            <v>2230</v>
          </cell>
          <cell r="F125" t="str">
            <v>Tinsley Meadows Primary School</v>
          </cell>
          <cell r="G125">
            <v>545</v>
          </cell>
          <cell r="H125">
            <v>69</v>
          </cell>
          <cell r="I125">
            <v>476</v>
          </cell>
          <cell r="N125">
            <v>0</v>
          </cell>
          <cell r="O125">
            <v>0.34340398608035438</v>
          </cell>
          <cell r="P125">
            <v>0.34340398608035438</v>
          </cell>
          <cell r="S125">
            <v>163.46029737424868</v>
          </cell>
          <cell r="U125">
            <v>0</v>
          </cell>
          <cell r="W125">
            <v>0</v>
          </cell>
          <cell r="X125">
            <v>187.15517241379314</v>
          </cell>
          <cell r="Z125">
            <v>187.15517241379314</v>
          </cell>
          <cell r="AA125">
            <v>216164.22413793107</v>
          </cell>
        </row>
        <row r="126">
          <cell r="E126">
            <v>5206</v>
          </cell>
          <cell r="F126" t="str">
            <v>Totley All Saints Church of England Voluntary Aided Primary School</v>
          </cell>
          <cell r="G126">
            <v>211</v>
          </cell>
          <cell r="H126">
            <v>29</v>
          </cell>
          <cell r="I126">
            <v>182</v>
          </cell>
          <cell r="N126">
            <v>0</v>
          </cell>
          <cell r="O126">
            <v>0.2779992750996737</v>
          </cell>
          <cell r="P126">
            <v>0.2779992750996737</v>
          </cell>
          <cell r="S126">
            <v>50.595868068140611</v>
          </cell>
          <cell r="U126">
            <v>0</v>
          </cell>
          <cell r="W126">
            <v>0</v>
          </cell>
          <cell r="X126">
            <v>58.657847046031151</v>
          </cell>
          <cell r="Z126">
            <v>58.657847046031151</v>
          </cell>
          <cell r="AA126">
            <v>67749.813338165986</v>
          </cell>
        </row>
        <row r="127">
          <cell r="E127">
            <v>2203</v>
          </cell>
          <cell r="F127" t="str">
            <v>Totley Primary School</v>
          </cell>
          <cell r="G127">
            <v>423</v>
          </cell>
          <cell r="H127">
            <v>60</v>
          </cell>
          <cell r="I127">
            <v>363</v>
          </cell>
          <cell r="N127">
            <v>0</v>
          </cell>
          <cell r="O127">
            <v>0.16380281690140844</v>
          </cell>
          <cell r="P127">
            <v>0.16380281690140844</v>
          </cell>
          <cell r="S127">
            <v>59.460422535211265</v>
          </cell>
          <cell r="U127">
            <v>0</v>
          </cell>
          <cell r="W127">
            <v>0</v>
          </cell>
          <cell r="X127">
            <v>69.288591549295774</v>
          </cell>
          <cell r="Z127">
            <v>69.288591549295774</v>
          </cell>
          <cell r="AA127">
            <v>80028.32323943662</v>
          </cell>
        </row>
        <row r="128">
          <cell r="E128">
            <v>2351</v>
          </cell>
          <cell r="F128" t="str">
            <v>Walkley Primary School</v>
          </cell>
          <cell r="G128">
            <v>377</v>
          </cell>
          <cell r="H128">
            <v>59</v>
          </cell>
          <cell r="I128">
            <v>318</v>
          </cell>
          <cell r="N128">
            <v>0</v>
          </cell>
          <cell r="O128">
            <v>0.29605263157894757</v>
          </cell>
          <cell r="P128">
            <v>0.29605263157894757</v>
          </cell>
          <cell r="S128">
            <v>94.144736842105331</v>
          </cell>
          <cell r="U128">
            <v>0</v>
          </cell>
          <cell r="W128">
            <v>0</v>
          </cell>
          <cell r="X128">
            <v>111.61184210526324</v>
          </cell>
          <cell r="Z128">
            <v>111.61184210526324</v>
          </cell>
          <cell r="AA128">
            <v>128911.67763157903</v>
          </cell>
        </row>
        <row r="129">
          <cell r="E129">
            <v>3432</v>
          </cell>
          <cell r="F129" t="str">
            <v>Watercliffe Meadow Community Primary School</v>
          </cell>
          <cell r="G129">
            <v>417</v>
          </cell>
          <cell r="H129">
            <v>59</v>
          </cell>
          <cell r="I129">
            <v>358</v>
          </cell>
          <cell r="N129">
            <v>0</v>
          </cell>
          <cell r="O129">
            <v>0.39055973266499588</v>
          </cell>
          <cell r="P129">
            <v>0.39055973266499588</v>
          </cell>
          <cell r="S129">
            <v>139.82038429406853</v>
          </cell>
          <cell r="U129">
            <v>0</v>
          </cell>
          <cell r="W129">
            <v>0</v>
          </cell>
          <cell r="X129">
            <v>162.86340852130328</v>
          </cell>
          <cell r="Z129">
            <v>162.86340852130328</v>
          </cell>
          <cell r="AA129">
            <v>188107.23684210528</v>
          </cell>
        </row>
        <row r="130">
          <cell r="E130">
            <v>2319</v>
          </cell>
          <cell r="F130" t="str">
            <v>Waterthorpe Infant School</v>
          </cell>
          <cell r="G130">
            <v>134</v>
          </cell>
          <cell r="H130">
            <v>42</v>
          </cell>
          <cell r="I130">
            <v>92</v>
          </cell>
          <cell r="N130">
            <v>0</v>
          </cell>
          <cell r="O130">
            <v>0.42669483705264449</v>
          </cell>
          <cell r="P130">
            <v>0.42669483705264449</v>
          </cell>
          <cell r="S130">
            <v>39.255925008843292</v>
          </cell>
          <cell r="U130">
            <v>0</v>
          </cell>
          <cell r="W130">
            <v>0</v>
          </cell>
          <cell r="X130">
            <v>57.177108165054364</v>
          </cell>
          <cell r="Z130">
            <v>57.177108165054364</v>
          </cell>
          <cell r="AA130">
            <v>66039.559930637784</v>
          </cell>
        </row>
        <row r="131">
          <cell r="E131">
            <v>2352</v>
          </cell>
          <cell r="F131" t="str">
            <v>Westways Primary School</v>
          </cell>
          <cell r="G131">
            <v>580</v>
          </cell>
          <cell r="H131">
            <v>85</v>
          </cell>
          <cell r="I131">
            <v>495</v>
          </cell>
          <cell r="N131">
            <v>0</v>
          </cell>
          <cell r="O131">
            <v>0.18552474985674619</v>
          </cell>
          <cell r="P131">
            <v>0.18552474985674619</v>
          </cell>
          <cell r="S131">
            <v>91.834751179089366</v>
          </cell>
          <cell r="U131">
            <v>0</v>
          </cell>
          <cell r="W131">
            <v>0</v>
          </cell>
          <cell r="X131">
            <v>107.6043549169128</v>
          </cell>
          <cell r="Z131">
            <v>107.6043549169128</v>
          </cell>
          <cell r="AA131">
            <v>124283.02992903428</v>
          </cell>
        </row>
        <row r="132">
          <cell r="E132">
            <v>2311</v>
          </cell>
          <cell r="F132" t="str">
            <v>Wharncliffe Side Primary School</v>
          </cell>
          <cell r="G132">
            <v>142</v>
          </cell>
          <cell r="H132">
            <v>22</v>
          </cell>
          <cell r="I132">
            <v>120</v>
          </cell>
          <cell r="N132">
            <v>0</v>
          </cell>
          <cell r="O132">
            <v>0.39406779661016961</v>
          </cell>
          <cell r="P132">
            <v>0.39406779661016961</v>
          </cell>
          <cell r="S132">
            <v>47.288135593220353</v>
          </cell>
          <cell r="U132">
            <v>0</v>
          </cell>
          <cell r="W132">
            <v>0</v>
          </cell>
          <cell r="X132">
            <v>55.957627118644083</v>
          </cell>
          <cell r="Z132">
            <v>55.957627118644083</v>
          </cell>
          <cell r="AA132">
            <v>64631.059322033914</v>
          </cell>
        </row>
        <row r="133">
          <cell r="E133">
            <v>2040</v>
          </cell>
          <cell r="F133" t="str">
            <v>Whiteways Primary School</v>
          </cell>
          <cell r="G133">
            <v>406</v>
          </cell>
          <cell r="H133">
            <v>42</v>
          </cell>
          <cell r="I133">
            <v>364</v>
          </cell>
          <cell r="N133">
            <v>0</v>
          </cell>
          <cell r="O133">
            <v>0.55085340191723164</v>
          </cell>
          <cell r="P133">
            <v>0.55085340191723164</v>
          </cell>
          <cell r="S133">
            <v>200.5106382978723</v>
          </cell>
          <cell r="U133">
            <v>0</v>
          </cell>
          <cell r="W133">
            <v>0</v>
          </cell>
          <cell r="X133">
            <v>223.64648117839604</v>
          </cell>
          <cell r="Z133">
            <v>223.64648117839604</v>
          </cell>
          <cell r="AA133">
            <v>258311.68576104744</v>
          </cell>
        </row>
        <row r="134">
          <cell r="E134">
            <v>2027</v>
          </cell>
          <cell r="F134" t="str">
            <v>Wincobank Nursery and Infant School</v>
          </cell>
          <cell r="G134">
            <v>137</v>
          </cell>
          <cell r="H134">
            <v>43</v>
          </cell>
          <cell r="I134">
            <v>94</v>
          </cell>
          <cell r="N134">
            <v>0</v>
          </cell>
          <cell r="O134">
            <v>0.26602468450555899</v>
          </cell>
          <cell r="P134">
            <v>0.26602468450555899</v>
          </cell>
          <cell r="S134">
            <v>25.006320343522546</v>
          </cell>
          <cell r="U134">
            <v>0</v>
          </cell>
          <cell r="W134">
            <v>0</v>
          </cell>
          <cell r="X134">
            <v>36.445381777261581</v>
          </cell>
          <cell r="Z134">
            <v>36.445381777261581</v>
          </cell>
          <cell r="AA134">
            <v>42094.415952737123</v>
          </cell>
        </row>
        <row r="135">
          <cell r="E135">
            <v>2361</v>
          </cell>
          <cell r="F135" t="str">
            <v>Windmill Hill Primary School</v>
          </cell>
          <cell r="G135">
            <v>315</v>
          </cell>
          <cell r="H135">
            <v>43</v>
          </cell>
          <cell r="I135">
            <v>272</v>
          </cell>
          <cell r="N135">
            <v>0</v>
          </cell>
          <cell r="O135">
            <v>0.25290215588723025</v>
          </cell>
          <cell r="P135">
            <v>0.25290215588723025</v>
          </cell>
          <cell r="S135">
            <v>68.789386401326624</v>
          </cell>
          <cell r="U135">
            <v>0</v>
          </cell>
          <cell r="W135">
            <v>0</v>
          </cell>
          <cell r="X135">
            <v>79.664179104477526</v>
          </cell>
          <cell r="Z135">
            <v>79.664179104477526</v>
          </cell>
          <cell r="AA135">
            <v>92012.12686567154</v>
          </cell>
        </row>
        <row r="136">
          <cell r="E136">
            <v>2043</v>
          </cell>
          <cell r="F136" t="str">
            <v>Wisewood Community Primary School</v>
          </cell>
          <cell r="G136">
            <v>156</v>
          </cell>
          <cell r="H136">
            <v>20</v>
          </cell>
          <cell r="I136">
            <v>136</v>
          </cell>
          <cell r="N136">
            <v>0</v>
          </cell>
          <cell r="O136">
            <v>0.37819602272727276</v>
          </cell>
          <cell r="P136">
            <v>0.37819602272727276</v>
          </cell>
          <cell r="S136">
            <v>51.434659090909093</v>
          </cell>
          <cell r="U136">
            <v>0</v>
          </cell>
          <cell r="W136">
            <v>0</v>
          </cell>
          <cell r="X136">
            <v>58.998579545454554</v>
          </cell>
          <cell r="Z136">
            <v>58.998579545454554</v>
          </cell>
          <cell r="AA136">
            <v>68143.359375000015</v>
          </cell>
        </row>
        <row r="137">
          <cell r="E137">
            <v>2139</v>
          </cell>
          <cell r="F137" t="str">
            <v>Woodhouse West Primary School</v>
          </cell>
          <cell r="G137">
            <v>360</v>
          </cell>
          <cell r="H137">
            <v>49</v>
          </cell>
          <cell r="I137">
            <v>311</v>
          </cell>
          <cell r="N137">
            <v>0</v>
          </cell>
          <cell r="O137">
            <v>0.41116400491400457</v>
          </cell>
          <cell r="P137">
            <v>0.41116400491400457</v>
          </cell>
          <cell r="S137">
            <v>127.87200552825541</v>
          </cell>
          <cell r="U137">
            <v>0</v>
          </cell>
          <cell r="W137">
            <v>0</v>
          </cell>
          <cell r="X137">
            <v>148.01904176904165</v>
          </cell>
          <cell r="Z137">
            <v>148.01904176904165</v>
          </cell>
          <cell r="AA137">
            <v>170961.99324324311</v>
          </cell>
        </row>
        <row r="138">
          <cell r="E138">
            <v>2034</v>
          </cell>
          <cell r="F138" t="str">
            <v>Woodlands Primary School</v>
          </cell>
          <cell r="G138">
            <v>395</v>
          </cell>
          <cell r="H138">
            <v>57</v>
          </cell>
          <cell r="I138">
            <v>338</v>
          </cell>
          <cell r="N138">
            <v>0</v>
          </cell>
          <cell r="O138">
            <v>0.37222715173025739</v>
          </cell>
          <cell r="P138">
            <v>0.37222715173025739</v>
          </cell>
          <cell r="S138">
            <v>125.81277728482699</v>
          </cell>
          <cell r="U138">
            <v>0</v>
          </cell>
          <cell r="W138">
            <v>0</v>
          </cell>
          <cell r="X138">
            <v>147.02972493345166</v>
          </cell>
          <cell r="Z138">
            <v>147.02972493345166</v>
          </cell>
          <cell r="AA138">
            <v>169819.33229813667</v>
          </cell>
        </row>
        <row r="139">
          <cell r="E139">
            <v>2324</v>
          </cell>
          <cell r="F139" t="str">
            <v>Woodseats Primary School</v>
          </cell>
          <cell r="G139">
            <v>363</v>
          </cell>
          <cell r="H139">
            <v>42</v>
          </cell>
          <cell r="I139">
            <v>321</v>
          </cell>
          <cell r="N139">
            <v>0</v>
          </cell>
          <cell r="O139">
            <v>0.25794314381270889</v>
          </cell>
          <cell r="P139">
            <v>0.25794314381270889</v>
          </cell>
          <cell r="S139">
            <v>82.799749163879554</v>
          </cell>
          <cell r="U139">
            <v>0</v>
          </cell>
          <cell r="W139">
            <v>0</v>
          </cell>
          <cell r="X139">
            <v>93.633361204013326</v>
          </cell>
          <cell r="Z139">
            <v>93.633361204013326</v>
          </cell>
          <cell r="AA139">
            <v>108146.53219063539</v>
          </cell>
        </row>
        <row r="140">
          <cell r="E140">
            <v>2327</v>
          </cell>
          <cell r="F140" t="str">
            <v>Woodthorpe Primary School</v>
          </cell>
          <cell r="G140">
            <v>406</v>
          </cell>
          <cell r="H140">
            <v>55</v>
          </cell>
          <cell r="I140">
            <v>351</v>
          </cell>
          <cell r="N140">
            <v>0</v>
          </cell>
          <cell r="O140">
            <v>0.34683465222823817</v>
          </cell>
          <cell r="P140">
            <v>0.34683465222823817</v>
          </cell>
          <cell r="S140">
            <v>121.7389629321116</v>
          </cell>
          <cell r="U140">
            <v>0</v>
          </cell>
          <cell r="W140">
            <v>0</v>
          </cell>
          <cell r="X140">
            <v>140.81486880466468</v>
          </cell>
          <cell r="Z140">
            <v>140.81486880466468</v>
          </cell>
          <cell r="AA140">
            <v>162641.17346938772</v>
          </cell>
        </row>
        <row r="141">
          <cell r="E141">
            <v>2321</v>
          </cell>
          <cell r="F141" t="str">
            <v>Wybourn Community Primary &amp; Nursery School</v>
          </cell>
          <cell r="G141">
            <v>424</v>
          </cell>
          <cell r="H141">
            <v>60</v>
          </cell>
          <cell r="I141">
            <v>364</v>
          </cell>
          <cell r="N141">
            <v>0</v>
          </cell>
          <cell r="O141">
            <v>0.50146444519133793</v>
          </cell>
          <cell r="P141">
            <v>0.50146444519133793</v>
          </cell>
          <cell r="S141">
            <v>182.533058049647</v>
          </cell>
          <cell r="U141">
            <v>0</v>
          </cell>
          <cell r="W141">
            <v>0</v>
          </cell>
          <cell r="X141">
            <v>212.62092476112727</v>
          </cell>
          <cell r="Z141">
            <v>212.62092476112727</v>
          </cell>
          <cell r="AA141">
            <v>245577.16809910201</v>
          </cell>
        </row>
        <row r="143">
          <cell r="F143" t="str">
            <v>Total Primary</v>
          </cell>
          <cell r="G143">
            <v>43411</v>
          </cell>
          <cell r="H143">
            <v>5900</v>
          </cell>
          <cell r="I143">
            <v>37511</v>
          </cell>
          <cell r="O143">
            <v>0.86408974683835893</v>
          </cell>
          <cell r="P143">
            <v>0.86408974683835893</v>
          </cell>
          <cell r="S143">
            <v>11460.870268110346</v>
          </cell>
          <cell r="U143">
            <v>0</v>
          </cell>
          <cell r="W143">
            <v>0</v>
          </cell>
          <cell r="X143">
            <v>13276.342401572931</v>
          </cell>
          <cell r="Z143">
            <v>13276.342401572931</v>
          </cell>
          <cell r="AA143">
            <v>15334175.473816743</v>
          </cell>
        </row>
        <row r="144">
          <cell r="G144">
            <v>0</v>
          </cell>
          <cell r="I144">
            <v>0.86408974683835893</v>
          </cell>
          <cell r="S144">
            <v>0.30553358396497948</v>
          </cell>
          <cell r="T144">
            <v>0</v>
          </cell>
          <cell r="Z144">
            <v>0.30582899268786551</v>
          </cell>
          <cell r="AA144">
            <v>0</v>
          </cell>
        </row>
        <row r="145">
          <cell r="N145" t="str">
            <v>Weighting</v>
          </cell>
          <cell r="O145">
            <v>0.54469374000000004</v>
          </cell>
          <cell r="Q145">
            <v>0.64527133999999997</v>
          </cell>
          <cell r="R145">
            <v>0.64527133999999997</v>
          </cell>
          <cell r="S145">
            <v>0.64527133999999997</v>
          </cell>
          <cell r="T145">
            <v>0.63585522999999999</v>
          </cell>
          <cell r="U145" t="str">
            <v>check apt</v>
          </cell>
          <cell r="Z145">
            <v>7.531752999057062E-13</v>
          </cell>
        </row>
        <row r="146">
          <cell r="G146" t="str">
            <v>Pupils NOR</v>
          </cell>
          <cell r="I146" t="str">
            <v>Y7</v>
          </cell>
          <cell r="J146" t="str">
            <v>Y8</v>
          </cell>
          <cell r="K146" t="str">
            <v>Y9</v>
          </cell>
          <cell r="L146" t="str">
            <v>Y10</v>
          </cell>
          <cell r="M146" t="str">
            <v>Y11</v>
          </cell>
          <cell r="O146" t="str">
            <v>Proportion of Y7 Pupils Under New Method</v>
          </cell>
          <cell r="P146" t="str">
            <v>col req. for 3-16 schools primary aged pupils</v>
          </cell>
          <cell r="Q146" t="str">
            <v>Proportion of Y8 Pupils Under New Method</v>
          </cell>
          <cell r="R146" t="str">
            <v>Proportion of Y9 Pupils Under New Method</v>
          </cell>
          <cell r="S146" t="str">
            <v>Proportion of Y10 Pupils Under Old Method</v>
          </cell>
          <cell r="T146" t="str">
            <v>Proportion of Y11 Pupils Under Old Method</v>
          </cell>
          <cell r="U146" t="str">
            <v>No. of Low Attain Pupils Y7</v>
          </cell>
          <cell r="V146" t="str">
            <v>No. of Low Attain Pupils Y8</v>
          </cell>
          <cell r="W146" t="str">
            <v>No. of Low Attain Pupils Y9</v>
          </cell>
          <cell r="X146" t="str">
            <v>No. of Low Attain Pupils Y10</v>
          </cell>
          <cell r="Y146" t="str">
            <v>No. of Low Attain Pupils Y11</v>
          </cell>
          <cell r="Z146" t="str">
            <v>No of Weighted Low Attain Pupils as Proportion of Whole School</v>
          </cell>
        </row>
        <row r="147">
          <cell r="F147" t="str">
            <v>Secondary</v>
          </cell>
          <cell r="I147">
            <v>19</v>
          </cell>
          <cell r="J147">
            <v>20</v>
          </cell>
          <cell r="K147">
            <v>21</v>
          </cell>
          <cell r="L147">
            <v>22</v>
          </cell>
          <cell r="M147">
            <v>23</v>
          </cell>
          <cell r="O147">
            <v>46</v>
          </cell>
          <cell r="Q147">
            <v>47</v>
          </cell>
          <cell r="R147">
            <v>48</v>
          </cell>
          <cell r="S147">
            <v>49</v>
          </cell>
          <cell r="T147">
            <v>50</v>
          </cell>
          <cell r="U147" t="str">
            <v>Weighted No.</v>
          </cell>
          <cell r="V147" t="str">
            <v>Weighted No.</v>
          </cell>
          <cell r="W147" t="str">
            <v>Weighted No.</v>
          </cell>
          <cell r="X147" t="str">
            <v>Weighted No.</v>
          </cell>
        </row>
        <row r="150">
          <cell r="E150">
            <v>5401</v>
          </cell>
          <cell r="F150" t="str">
            <v>All Saints' Catholic High School</v>
          </cell>
          <cell r="G150">
            <v>1034</v>
          </cell>
          <cell r="I150">
            <v>206</v>
          </cell>
          <cell r="J150">
            <v>209</v>
          </cell>
          <cell r="K150">
            <v>206</v>
          </cell>
          <cell r="L150">
            <v>203</v>
          </cell>
          <cell r="M150">
            <v>210</v>
          </cell>
          <cell r="N150">
            <v>0</v>
          </cell>
          <cell r="O150">
            <v>0.33990147783251201</v>
          </cell>
          <cell r="Q150">
            <v>0.32828282828282801</v>
          </cell>
          <cell r="R150">
            <v>0.32828282828282801</v>
          </cell>
          <cell r="S150">
            <v>0.32828282828282801</v>
          </cell>
          <cell r="T150">
            <v>0.38500000000000001</v>
          </cell>
          <cell r="U150">
            <v>38.139294681576324</v>
          </cell>
          <cell r="V150">
            <v>44.272783605555517</v>
          </cell>
          <cell r="W150">
            <v>43.63728910404037</v>
          </cell>
          <cell r="X150">
            <v>43.001794602525216</v>
          </cell>
          <cell r="Y150">
            <v>51.408895345500007</v>
          </cell>
          <cell r="Z150">
            <v>220.46005733919745</v>
          </cell>
          <cell r="AA150">
            <v>385805.10034359555</v>
          </cell>
        </row>
        <row r="151">
          <cell r="E151">
            <v>4017</v>
          </cell>
          <cell r="F151" t="str">
            <v>Bradfield School</v>
          </cell>
          <cell r="G151">
            <v>1065</v>
          </cell>
          <cell r="I151">
            <v>210</v>
          </cell>
          <cell r="J151">
            <v>208</v>
          </cell>
          <cell r="K151">
            <v>220</v>
          </cell>
          <cell r="L151">
            <v>227</v>
          </cell>
          <cell r="M151">
            <v>200</v>
          </cell>
          <cell r="N151">
            <v>0</v>
          </cell>
          <cell r="O151">
            <v>0.258536585365854</v>
          </cell>
          <cell r="Q151">
            <v>0.23318385650224199</v>
          </cell>
          <cell r="R151">
            <v>0.23318385650224199</v>
          </cell>
          <cell r="S151">
            <v>0.23318385650224199</v>
          </cell>
          <cell r="T151">
            <v>0.22842639593908601</v>
          </cell>
          <cell r="U151">
            <v>29.572884518048824</v>
          </cell>
          <cell r="V151">
            <v>31.297106786726435</v>
          </cell>
          <cell r="W151">
            <v>33.102709101345269</v>
          </cell>
          <cell r="X151">
            <v>34.155977118206252</v>
          </cell>
          <cell r="Y151">
            <v>29.049223705583721</v>
          </cell>
          <cell r="Z151">
            <v>157.1779012299105</v>
          </cell>
          <cell r="AA151">
            <v>275061.32715234341</v>
          </cell>
        </row>
        <row r="152">
          <cell r="E152">
            <v>4000</v>
          </cell>
          <cell r="F152" t="str">
            <v>Chaucer School</v>
          </cell>
          <cell r="G152">
            <v>842</v>
          </cell>
          <cell r="I152">
            <v>177</v>
          </cell>
          <cell r="J152">
            <v>168</v>
          </cell>
          <cell r="K152">
            <v>165</v>
          </cell>
          <cell r="L152">
            <v>164</v>
          </cell>
          <cell r="M152">
            <v>168</v>
          </cell>
          <cell r="N152">
            <v>0</v>
          </cell>
          <cell r="O152">
            <v>0.58695652173913004</v>
          </cell>
          <cell r="Q152">
            <v>0.515923566878981</v>
          </cell>
          <cell r="R152">
            <v>0.515923566878981</v>
          </cell>
          <cell r="S152">
            <v>0.515923566878981</v>
          </cell>
          <cell r="T152">
            <v>0.47878787878787898</v>
          </cell>
          <cell r="U152">
            <v>56.588943118695617</v>
          </cell>
          <cell r="V152">
            <v>55.928996144713388</v>
          </cell>
          <cell r="W152">
            <v>54.930264070700652</v>
          </cell>
          <cell r="X152">
            <v>54.597353379363071</v>
          </cell>
          <cell r="Y152">
            <v>51.145882500363655</v>
          </cell>
          <cell r="Z152">
            <v>273.19143921383636</v>
          </cell>
          <cell r="AA152">
            <v>478085.01862421364</v>
          </cell>
        </row>
        <row r="153">
          <cell r="E153">
            <v>4012</v>
          </cell>
          <cell r="F153" t="str">
            <v>Ecclesfield School</v>
          </cell>
          <cell r="G153">
            <v>1701</v>
          </cell>
          <cell r="I153">
            <v>342</v>
          </cell>
          <cell r="J153">
            <v>353</v>
          </cell>
          <cell r="K153">
            <v>351</v>
          </cell>
          <cell r="L153">
            <v>322</v>
          </cell>
          <cell r="M153">
            <v>333</v>
          </cell>
          <cell r="N153">
            <v>0</v>
          </cell>
          <cell r="O153">
            <v>0.47337278106508901</v>
          </cell>
          <cell r="Q153">
            <v>0.396166134185304</v>
          </cell>
          <cell r="R153">
            <v>0.396166134185304</v>
          </cell>
          <cell r="S153">
            <v>0.396166134185304</v>
          </cell>
          <cell r="T153">
            <v>0.42682926829268297</v>
          </cell>
          <cell r="U153">
            <v>88.182371162130224</v>
          </cell>
          <cell r="V153">
            <v>90.239032250734937</v>
          </cell>
          <cell r="W153">
            <v>89.727762946198197</v>
          </cell>
          <cell r="X153">
            <v>82.314358030415434</v>
          </cell>
          <cell r="Y153">
            <v>90.376740312804884</v>
          </cell>
          <cell r="Z153">
            <v>440.84026470228372</v>
          </cell>
          <cell r="AA153">
            <v>771470.46322899649</v>
          </cell>
        </row>
        <row r="154">
          <cell r="E154">
            <v>4280</v>
          </cell>
          <cell r="F154" t="str">
            <v>Fir Vale School</v>
          </cell>
          <cell r="G154">
            <v>1025</v>
          </cell>
          <cell r="I154">
            <v>211</v>
          </cell>
          <cell r="J154">
            <v>203</v>
          </cell>
          <cell r="K154">
            <v>209</v>
          </cell>
          <cell r="L154">
            <v>204</v>
          </cell>
          <cell r="M154">
            <v>198</v>
          </cell>
          <cell r="N154">
            <v>0</v>
          </cell>
          <cell r="O154">
            <v>0.73979591836734704</v>
          </cell>
          <cell r="Q154">
            <v>0.64150943396226401</v>
          </cell>
          <cell r="R154">
            <v>0.64150943396226401</v>
          </cell>
          <cell r="S154">
            <v>0.64150943396226401</v>
          </cell>
          <cell r="T154">
            <v>0.53048780487804903</v>
          </cell>
          <cell r="U154">
            <v>85.025025384183692</v>
          </cell>
          <cell r="V154">
            <v>84.031373371320726</v>
          </cell>
          <cell r="W154">
            <v>86.515059283773567</v>
          </cell>
          <cell r="X154">
            <v>84.445321023396218</v>
          </cell>
          <cell r="Y154">
            <v>66.788062146219545</v>
          </cell>
          <cell r="Z154">
            <v>406.80484120889372</v>
          </cell>
          <cell r="AA154">
            <v>711908.47211556404</v>
          </cell>
        </row>
        <row r="155">
          <cell r="E155">
            <v>4003</v>
          </cell>
          <cell r="F155" t="str">
            <v>Firth Park Academy</v>
          </cell>
          <cell r="G155">
            <v>1166</v>
          </cell>
          <cell r="I155">
            <v>248</v>
          </cell>
          <cell r="J155">
            <v>243</v>
          </cell>
          <cell r="K155">
            <v>236</v>
          </cell>
          <cell r="L155">
            <v>224</v>
          </cell>
          <cell r="M155">
            <v>215</v>
          </cell>
          <cell r="N155">
            <v>0</v>
          </cell>
          <cell r="O155">
            <v>0.632911392405063</v>
          </cell>
          <cell r="Q155">
            <v>0.40609137055837602</v>
          </cell>
          <cell r="R155">
            <v>0.40609137055837602</v>
          </cell>
          <cell r="S155">
            <v>0.40609137055837602</v>
          </cell>
          <cell r="T155">
            <v>0.44148936170212799</v>
          </cell>
          <cell r="U155">
            <v>85.496232607594905</v>
          </cell>
          <cell r="V155">
            <v>63.675506850761479</v>
          </cell>
          <cell r="W155">
            <v>61.841232990863006</v>
          </cell>
          <cell r="X155">
            <v>58.696763516751325</v>
          </cell>
          <cell r="Y155">
            <v>60.355513719946849</v>
          </cell>
          <cell r="Z155">
            <v>330.06524968591754</v>
          </cell>
          <cell r="AA155">
            <v>577614.18695035565</v>
          </cell>
        </row>
        <row r="156">
          <cell r="E156">
            <v>4007</v>
          </cell>
          <cell r="F156" t="str">
            <v>Forge Valley School</v>
          </cell>
          <cell r="G156">
            <v>1243</v>
          </cell>
          <cell r="I156">
            <v>256</v>
          </cell>
          <cell r="J156">
            <v>261</v>
          </cell>
          <cell r="K156">
            <v>253</v>
          </cell>
          <cell r="L156">
            <v>236</v>
          </cell>
          <cell r="M156">
            <v>237</v>
          </cell>
          <cell r="N156">
            <v>0</v>
          </cell>
          <cell r="O156">
            <v>0.33333333333333298</v>
          </cell>
          <cell r="Q156">
            <v>0.27631578947368401</v>
          </cell>
          <cell r="R156">
            <v>0.27631578947368401</v>
          </cell>
          <cell r="S156">
            <v>0.27631578947368401</v>
          </cell>
          <cell r="T156">
            <v>0.27826086956521701</v>
          </cell>
          <cell r="U156">
            <v>46.480532479999951</v>
          </cell>
          <cell r="V156">
            <v>46.535950191315756</v>
          </cell>
          <cell r="W156">
            <v>45.109560913421014</v>
          </cell>
          <cell r="X156">
            <v>42.078483697894704</v>
          </cell>
          <cell r="Y156">
            <v>41.933270124521677</v>
          </cell>
          <cell r="Z156">
            <v>222.1377974071531</v>
          </cell>
          <cell r="AA156">
            <v>388741.14546251792</v>
          </cell>
        </row>
        <row r="157">
          <cell r="E157">
            <v>4278</v>
          </cell>
          <cell r="F157" t="str">
            <v>Handsworth Grange Community Sports College</v>
          </cell>
          <cell r="G157">
            <v>1015</v>
          </cell>
          <cell r="I157">
            <v>213</v>
          </cell>
          <cell r="J157">
            <v>199</v>
          </cell>
          <cell r="K157">
            <v>203</v>
          </cell>
          <cell r="L157">
            <v>202</v>
          </cell>
          <cell r="M157">
            <v>198</v>
          </cell>
          <cell r="N157">
            <v>0</v>
          </cell>
          <cell r="O157">
            <v>0.50234741784037595</v>
          </cell>
          <cell r="Q157">
            <v>0.37313432835820898</v>
          </cell>
          <cell r="R157">
            <v>0.37313432835820898</v>
          </cell>
          <cell r="S157">
            <v>0.37313432835820898</v>
          </cell>
          <cell r="T157">
            <v>0.39037433155080198</v>
          </cell>
          <cell r="U157">
            <v>58.282230180000049</v>
          </cell>
          <cell r="V157">
            <v>47.913804723880602</v>
          </cell>
          <cell r="W157">
            <v>48.876896276119403</v>
          </cell>
          <cell r="X157">
            <v>48.636123388059708</v>
          </cell>
          <cell r="Y157">
            <v>49.147868954117627</v>
          </cell>
          <cell r="Z157">
            <v>252.85692352217737</v>
          </cell>
          <cell r="AA157">
            <v>442499.61616381037</v>
          </cell>
        </row>
        <row r="158">
          <cell r="E158">
            <v>4257</v>
          </cell>
          <cell r="F158" t="str">
            <v>High Storrs School</v>
          </cell>
          <cell r="G158">
            <v>1214</v>
          </cell>
          <cell r="I158">
            <v>246</v>
          </cell>
          <cell r="J158">
            <v>245</v>
          </cell>
          <cell r="K158">
            <v>239</v>
          </cell>
          <cell r="L158">
            <v>241</v>
          </cell>
          <cell r="M158">
            <v>243</v>
          </cell>
          <cell r="N158">
            <v>0</v>
          </cell>
          <cell r="O158">
            <v>0.23012552301255201</v>
          </cell>
          <cell r="Q158">
            <v>0.19915254237288099</v>
          </cell>
          <cell r="R158">
            <v>0.19915254237288099</v>
          </cell>
          <cell r="S158">
            <v>0.19915254237288099</v>
          </cell>
          <cell r="T158">
            <v>0.21794871794871801</v>
          </cell>
          <cell r="U158">
            <v>30.835591222594108</v>
          </cell>
          <cell r="V158">
            <v>31.484319830932147</v>
          </cell>
          <cell r="W158">
            <v>30.713275263644011</v>
          </cell>
          <cell r="X158">
            <v>30.970290119406719</v>
          </cell>
          <cell r="Y158">
            <v>33.675871219615395</v>
          </cell>
          <cell r="Z158">
            <v>157.67934765619239</v>
          </cell>
          <cell r="AA158">
            <v>275938.85839833668</v>
          </cell>
        </row>
        <row r="159">
          <cell r="E159">
            <v>4230</v>
          </cell>
          <cell r="F159" t="str">
            <v>King Ecgbert School</v>
          </cell>
          <cell r="G159">
            <v>1030</v>
          </cell>
          <cell r="I159">
            <v>207</v>
          </cell>
          <cell r="J159">
            <v>208</v>
          </cell>
          <cell r="K159">
            <v>208</v>
          </cell>
          <cell r="L159">
            <v>207</v>
          </cell>
          <cell r="M159">
            <v>200</v>
          </cell>
          <cell r="N159">
            <v>0</v>
          </cell>
          <cell r="O159">
            <v>0.361809045226131</v>
          </cell>
          <cell r="Q159">
            <v>0.32512315270935999</v>
          </cell>
          <cell r="R159">
            <v>0.32512315270935999</v>
          </cell>
          <cell r="S159">
            <v>0.32512315270935999</v>
          </cell>
          <cell r="T159">
            <v>0.27368421052631597</v>
          </cell>
          <cell r="U159">
            <v>40.794550256080448</v>
          </cell>
          <cell r="V159">
            <v>43.636871702069016</v>
          </cell>
          <cell r="W159">
            <v>43.636871702069016</v>
          </cell>
          <cell r="X159">
            <v>43.427079049655227</v>
          </cell>
          <cell r="Y159">
            <v>34.804707326315814</v>
          </cell>
          <cell r="Z159">
            <v>206.30008003618951</v>
          </cell>
          <cell r="AA159">
            <v>361025.14006333164</v>
          </cell>
        </row>
        <row r="160">
          <cell r="E160">
            <v>4259</v>
          </cell>
          <cell r="F160" t="str">
            <v>King Edward VII School</v>
          </cell>
          <cell r="G160">
            <v>1141</v>
          </cell>
          <cell r="I160">
            <v>221</v>
          </cell>
          <cell r="J160">
            <v>230</v>
          </cell>
          <cell r="K160">
            <v>233</v>
          </cell>
          <cell r="L160">
            <v>230</v>
          </cell>
          <cell r="M160">
            <v>227</v>
          </cell>
          <cell r="N160">
            <v>0</v>
          </cell>
          <cell r="O160">
            <v>0.328703703703704</v>
          </cell>
          <cell r="Q160">
            <v>0.28985507246376802</v>
          </cell>
          <cell r="R160">
            <v>0.28985507246376802</v>
          </cell>
          <cell r="S160">
            <v>0.28985507246376802</v>
          </cell>
          <cell r="T160">
            <v>0.27586206896551702</v>
          </cell>
          <cell r="U160">
            <v>39.568469788611154</v>
          </cell>
          <cell r="V160">
            <v>43.018089333333315</v>
          </cell>
          <cell r="W160">
            <v>43.579194846376787</v>
          </cell>
          <cell r="X160">
            <v>43.018089333333315</v>
          </cell>
          <cell r="Y160">
            <v>39.817693023448243</v>
          </cell>
          <cell r="Z160">
            <v>209.00153632510279</v>
          </cell>
          <cell r="AA160">
            <v>365752.68856892991</v>
          </cell>
        </row>
        <row r="161">
          <cell r="E161">
            <v>4279</v>
          </cell>
          <cell r="F161" t="str">
            <v>Meadowhead School Academy Trust</v>
          </cell>
          <cell r="G161">
            <v>1640</v>
          </cell>
          <cell r="I161">
            <v>337</v>
          </cell>
          <cell r="J161">
            <v>327</v>
          </cell>
          <cell r="K161">
            <v>325</v>
          </cell>
          <cell r="L161">
            <v>324</v>
          </cell>
          <cell r="M161">
            <v>327</v>
          </cell>
          <cell r="N161">
            <v>0</v>
          </cell>
          <cell r="O161">
            <v>0.40121580547112501</v>
          </cell>
          <cell r="Q161">
            <v>0.32051282051282098</v>
          </cell>
          <cell r="R161">
            <v>0.32051282051282098</v>
          </cell>
          <cell r="S161">
            <v>0.32051282051282098</v>
          </cell>
          <cell r="T161">
            <v>0.40836012861736298</v>
          </cell>
          <cell r="U161">
            <v>73.647891581033505</v>
          </cell>
          <cell r="V161">
            <v>67.629400057692408</v>
          </cell>
          <cell r="W161">
            <v>67.215764583333424</v>
          </cell>
          <cell r="X161">
            <v>67.008946846153947</v>
          </cell>
          <cell r="Y161">
            <v>84.9081409860771</v>
          </cell>
          <cell r="Z161">
            <v>360.41014405429041</v>
          </cell>
          <cell r="AA161">
            <v>630717.75209500827</v>
          </cell>
        </row>
        <row r="162">
          <cell r="E162">
            <v>4015</v>
          </cell>
          <cell r="F162" t="str">
            <v>Mercia School</v>
          </cell>
          <cell r="G162">
            <v>786</v>
          </cell>
          <cell r="I162">
            <v>189</v>
          </cell>
          <cell r="J162">
            <v>181</v>
          </cell>
          <cell r="K162">
            <v>178</v>
          </cell>
          <cell r="L162">
            <v>120</v>
          </cell>
          <cell r="M162">
            <v>118</v>
          </cell>
          <cell r="N162">
            <v>0</v>
          </cell>
          <cell r="O162">
            <v>0.36612021857923499</v>
          </cell>
          <cell r="Q162">
            <v>0.33043478260869602</v>
          </cell>
          <cell r="R162">
            <v>0.33043478260869602</v>
          </cell>
          <cell r="S162">
            <v>0.33043478260869602</v>
          </cell>
          <cell r="T162">
            <v>0.29729729729729698</v>
          </cell>
          <cell r="U162">
            <v>37.691020926885251</v>
          </cell>
          <cell r="V162">
            <v>38.592837187130478</v>
          </cell>
          <cell r="W162">
            <v>37.953176902260914</v>
          </cell>
          <cell r="X162">
            <v>25.586411394782633</v>
          </cell>
          <cell r="Y162">
            <v>22.306488879459437</v>
          </cell>
          <cell r="Z162">
            <v>162.12993529051872</v>
          </cell>
          <cell r="AA162">
            <v>283727.38675840775</v>
          </cell>
        </row>
        <row r="163">
          <cell r="E163">
            <v>4008</v>
          </cell>
          <cell r="F163" t="str">
            <v>Newfield Secondary School</v>
          </cell>
          <cell r="G163">
            <v>1055</v>
          </cell>
          <cell r="I163">
            <v>227</v>
          </cell>
          <cell r="J163">
            <v>214</v>
          </cell>
          <cell r="K163">
            <v>206</v>
          </cell>
          <cell r="L163">
            <v>208</v>
          </cell>
          <cell r="M163">
            <v>200</v>
          </cell>
          <cell r="N163">
            <v>0</v>
          </cell>
          <cell r="O163">
            <v>0.37333333333333302</v>
          </cell>
          <cell r="Q163">
            <v>0.42631578947368398</v>
          </cell>
          <cell r="R163">
            <v>0.42631578947368398</v>
          </cell>
          <cell r="S163">
            <v>0.42631578947368398</v>
          </cell>
          <cell r="T163">
            <v>0.36125654450261802</v>
          </cell>
          <cell r="U163">
            <v>46.160978819199968</v>
          </cell>
          <cell r="V163">
            <v>58.869123197684182</v>
          </cell>
          <cell r="W163">
            <v>56.668408311789435</v>
          </cell>
          <cell r="X163">
            <v>57.21858703326312</v>
          </cell>
          <cell r="Y163">
            <v>45.941372638743481</v>
          </cell>
          <cell r="Z163">
            <v>264.8584700006802</v>
          </cell>
          <cell r="AA163">
            <v>463502.32250119036</v>
          </cell>
        </row>
        <row r="164">
          <cell r="E164">
            <v>5400</v>
          </cell>
          <cell r="F164" t="str">
            <v>Notre Dame High School</v>
          </cell>
          <cell r="G164">
            <v>1067</v>
          </cell>
          <cell r="I164">
            <v>215</v>
          </cell>
          <cell r="J164">
            <v>215</v>
          </cell>
          <cell r="K164">
            <v>212</v>
          </cell>
          <cell r="L164">
            <v>212</v>
          </cell>
          <cell r="M164">
            <v>213</v>
          </cell>
          <cell r="N164">
            <v>0</v>
          </cell>
          <cell r="O164">
            <v>0.29383886255924202</v>
          </cell>
          <cell r="Q164">
            <v>0.244019138755981</v>
          </cell>
          <cell r="R164">
            <v>0.244019138755981</v>
          </cell>
          <cell r="S164">
            <v>0.244019138755981</v>
          </cell>
          <cell r="T164">
            <v>0.23444976076554999</v>
          </cell>
          <cell r="U164">
            <v>34.411220636018996</v>
          </cell>
          <cell r="V164">
            <v>33.853589679904324</v>
          </cell>
          <cell r="W164">
            <v>33.381214009952167</v>
          </cell>
          <cell r="X164">
            <v>33.381214009952167</v>
          </cell>
          <cell r="Y164">
            <v>31.753210696220062</v>
          </cell>
          <cell r="Z164">
            <v>166.78044903204773</v>
          </cell>
          <cell r="AA164">
            <v>291865.78580608353</v>
          </cell>
        </row>
        <row r="165">
          <cell r="E165">
            <v>4006</v>
          </cell>
          <cell r="F165" t="str">
            <v>Outwood Academy City</v>
          </cell>
          <cell r="G165">
            <v>1126</v>
          </cell>
          <cell r="I165">
            <v>234</v>
          </cell>
          <cell r="J165">
            <v>232</v>
          </cell>
          <cell r="K165">
            <v>221</v>
          </cell>
          <cell r="L165">
            <v>222</v>
          </cell>
          <cell r="M165">
            <v>217</v>
          </cell>
          <cell r="N165">
            <v>0</v>
          </cell>
          <cell r="O165">
            <v>0.36206896551724099</v>
          </cell>
          <cell r="Q165">
            <v>0.38755980861243999</v>
          </cell>
          <cell r="R165">
            <v>0.38755980861243999</v>
          </cell>
          <cell r="S165">
            <v>0.38755980861243999</v>
          </cell>
          <cell r="T165">
            <v>0.31603773584905698</v>
          </cell>
          <cell r="U165">
            <v>46.14870755793099</v>
          </cell>
          <cell r="V165">
            <v>58.018846991770303</v>
          </cell>
          <cell r="W165">
            <v>55.267953384401885</v>
          </cell>
          <cell r="X165">
            <v>55.518034621435376</v>
          </cell>
          <cell r="Y165">
            <v>43.607071646084961</v>
          </cell>
          <cell r="Z165">
            <v>258.56061420162348</v>
          </cell>
          <cell r="AA165">
            <v>452481.07485284109</v>
          </cell>
        </row>
        <row r="166">
          <cell r="E166">
            <v>6907</v>
          </cell>
          <cell r="F166" t="str">
            <v>Parkwood E-ACT Academy</v>
          </cell>
          <cell r="G166">
            <v>793</v>
          </cell>
          <cell r="I166">
            <v>174</v>
          </cell>
          <cell r="J166">
            <v>173</v>
          </cell>
          <cell r="K166">
            <v>170</v>
          </cell>
          <cell r="L166">
            <v>130</v>
          </cell>
          <cell r="M166">
            <v>146</v>
          </cell>
          <cell r="N166">
            <v>0</v>
          </cell>
          <cell r="O166">
            <v>0.55625000000000002</v>
          </cell>
          <cell r="Q166">
            <v>0.495652173913044</v>
          </cell>
          <cell r="R166">
            <v>0.495652173913044</v>
          </cell>
          <cell r="S166">
            <v>0.495652173913044</v>
          </cell>
          <cell r="T166">
            <v>0.50806451612903203</v>
          </cell>
          <cell r="U166">
            <v>52.719545360250009</v>
          </cell>
          <cell r="V166">
            <v>55.330614641217444</v>
          </cell>
          <cell r="W166">
            <v>54.371124213913099</v>
          </cell>
          <cell r="X166">
            <v>41.577918516521784</v>
          </cell>
          <cell r="Y166">
            <v>47.1661000446774</v>
          </cell>
          <cell r="Z166">
            <v>251.16530277657972</v>
          </cell>
          <cell r="AA166">
            <v>439539.2798590145</v>
          </cell>
        </row>
        <row r="167">
          <cell r="E167">
            <v>6905</v>
          </cell>
          <cell r="F167" t="str">
            <v>Sheffield Park Academy</v>
          </cell>
          <cell r="G167">
            <v>1029</v>
          </cell>
          <cell r="I167">
            <v>211</v>
          </cell>
          <cell r="J167">
            <v>208</v>
          </cell>
          <cell r="K167">
            <v>197</v>
          </cell>
          <cell r="L167">
            <v>209</v>
          </cell>
          <cell r="M167">
            <v>204</v>
          </cell>
          <cell r="N167">
            <v>0</v>
          </cell>
          <cell r="O167">
            <v>0.54066985645932997</v>
          </cell>
          <cell r="Q167">
            <v>0.45544554455445502</v>
          </cell>
          <cell r="R167">
            <v>0.45544554455445502</v>
          </cell>
          <cell r="S167">
            <v>0.45544554455445502</v>
          </cell>
          <cell r="T167">
            <v>0.46560846560846603</v>
          </cell>
          <cell r="U167">
            <v>62.139391592440177</v>
          </cell>
          <cell r="V167">
            <v>61.128279020990043</v>
          </cell>
          <cell r="W167">
            <v>57.895533495841526</v>
          </cell>
          <cell r="X167">
            <v>61.422164977821723</v>
          </cell>
          <cell r="Y167">
            <v>60.396153909841324</v>
          </cell>
          <cell r="Z167">
            <v>302.98152299693481</v>
          </cell>
          <cell r="AA167">
            <v>530217.66524463589</v>
          </cell>
        </row>
        <row r="168">
          <cell r="E168">
            <v>6906</v>
          </cell>
          <cell r="F168" t="str">
            <v>Sheffield Springs Academy</v>
          </cell>
          <cell r="G168">
            <v>981</v>
          </cell>
          <cell r="I168">
            <v>209</v>
          </cell>
          <cell r="J168">
            <v>203</v>
          </cell>
          <cell r="K168">
            <v>197</v>
          </cell>
          <cell r="L168">
            <v>206</v>
          </cell>
          <cell r="M168">
            <v>166</v>
          </cell>
          <cell r="N168">
            <v>0</v>
          </cell>
          <cell r="O168">
            <v>0.66990291262135904</v>
          </cell>
          <cell r="Q168">
            <v>0.56666666666666698</v>
          </cell>
          <cell r="R168">
            <v>0.56666666666666698</v>
          </cell>
          <cell r="S168">
            <v>0.56666666666666698</v>
          </cell>
          <cell r="T168">
            <v>0.57857142857142896</v>
          </cell>
          <cell r="U168">
            <v>76.262411888737844</v>
          </cell>
          <cell r="V168">
            <v>74.227713144666708</v>
          </cell>
          <cell r="W168">
            <v>72.033790588666704</v>
          </cell>
          <cell r="X168">
            <v>75.324674422666703</v>
          </cell>
          <cell r="Y168">
            <v>61.069353018428608</v>
          </cell>
          <cell r="Z168">
            <v>358.9179430631666</v>
          </cell>
          <cell r="AA168">
            <v>628106.40036054153</v>
          </cell>
        </row>
        <row r="169">
          <cell r="E169">
            <v>4229</v>
          </cell>
          <cell r="F169" t="str">
            <v>Silverdale School</v>
          </cell>
          <cell r="G169">
            <v>1021</v>
          </cell>
          <cell r="I169">
            <v>185</v>
          </cell>
          <cell r="J169">
            <v>181</v>
          </cell>
          <cell r="K169">
            <v>184</v>
          </cell>
          <cell r="L169">
            <v>234</v>
          </cell>
          <cell r="M169">
            <v>237</v>
          </cell>
          <cell r="N169">
            <v>0</v>
          </cell>
          <cell r="O169">
            <v>0.31073446327683601</v>
          </cell>
          <cell r="Q169">
            <v>0.179245283018868</v>
          </cell>
          <cell r="R169">
            <v>0.179245283018868</v>
          </cell>
          <cell r="S169">
            <v>0.179245283018868</v>
          </cell>
          <cell r="T169">
            <v>0.28947368421052599</v>
          </cell>
          <cell r="U169">
            <v>31.31219663559321</v>
          </cell>
          <cell r="V169">
            <v>20.934793757169821</v>
          </cell>
          <cell r="W169">
            <v>21.281779289056612</v>
          </cell>
          <cell r="X169">
            <v>27.064871487169821</v>
          </cell>
          <cell r="Y169">
            <v>43.623015384473632</v>
          </cell>
          <cell r="Z169">
            <v>144.21665655346311</v>
          </cell>
          <cell r="AA169">
            <v>252379.14896856045</v>
          </cell>
        </row>
        <row r="170">
          <cell r="E170">
            <v>4271</v>
          </cell>
          <cell r="F170" t="str">
            <v>Stocksbridge High School</v>
          </cell>
          <cell r="G170">
            <v>793</v>
          </cell>
          <cell r="I170">
            <v>152</v>
          </cell>
          <cell r="J170">
            <v>156</v>
          </cell>
          <cell r="K170">
            <v>149</v>
          </cell>
          <cell r="L170">
            <v>175</v>
          </cell>
          <cell r="M170">
            <v>161</v>
          </cell>
          <cell r="N170">
            <v>0</v>
          </cell>
          <cell r="O170">
            <v>0.35135135135135098</v>
          </cell>
          <cell r="Q170">
            <v>0.22857142857142901</v>
          </cell>
          <cell r="R170">
            <v>0.22857142857142901</v>
          </cell>
          <cell r="S170">
            <v>0.22857142857142901</v>
          </cell>
          <cell r="T170">
            <v>0.28125</v>
          </cell>
          <cell r="U170">
            <v>29.089590006486457</v>
          </cell>
          <cell r="V170">
            <v>23.008532352000042</v>
          </cell>
          <cell r="W170">
            <v>21.976098208000039</v>
          </cell>
          <cell r="X170">
            <v>25.810853600000048</v>
          </cell>
          <cell r="Y170">
            <v>28.792319633437501</v>
          </cell>
          <cell r="Z170">
            <v>128.67739379992406</v>
          </cell>
          <cell r="AA170">
            <v>225185.4391498671</v>
          </cell>
        </row>
        <row r="171">
          <cell r="E171">
            <v>4234</v>
          </cell>
          <cell r="F171" t="str">
            <v>Tapton School</v>
          </cell>
          <cell r="G171">
            <v>1357</v>
          </cell>
          <cell r="I171">
            <v>271</v>
          </cell>
          <cell r="J171">
            <v>262</v>
          </cell>
          <cell r="K171">
            <v>273</v>
          </cell>
          <cell r="L171">
            <v>286</v>
          </cell>
          <cell r="M171">
            <v>265</v>
          </cell>
          <cell r="N171">
            <v>0</v>
          </cell>
          <cell r="O171">
            <v>0.38461538461538503</v>
          </cell>
          <cell r="Q171">
            <v>0.19708029197080301</v>
          </cell>
          <cell r="R171">
            <v>0.19708029197080301</v>
          </cell>
          <cell r="S171">
            <v>0.19708029197080301</v>
          </cell>
          <cell r="T171">
            <v>0.22727272727272699</v>
          </cell>
          <cell r="U171">
            <v>56.773847515384681</v>
          </cell>
          <cell r="V171">
            <v>33.318609190948919</v>
          </cell>
          <cell r="W171">
            <v>34.717482095912423</v>
          </cell>
          <cell r="X171">
            <v>36.370695529051112</v>
          </cell>
          <cell r="Y171">
            <v>38.295826352272677</v>
          </cell>
          <cell r="Z171">
            <v>199.47646068356983</v>
          </cell>
          <cell r="AA171">
            <v>349083.80619624717</v>
          </cell>
        </row>
        <row r="172">
          <cell r="E172">
            <v>4276</v>
          </cell>
          <cell r="F172" t="str">
            <v>The Birley Academy</v>
          </cell>
          <cell r="G172">
            <v>1076</v>
          </cell>
          <cell r="I172">
            <v>225</v>
          </cell>
          <cell r="J172">
            <v>227</v>
          </cell>
          <cell r="K172">
            <v>217</v>
          </cell>
          <cell r="L172">
            <v>201</v>
          </cell>
          <cell r="M172">
            <v>206</v>
          </cell>
          <cell r="N172">
            <v>0</v>
          </cell>
          <cell r="O172">
            <v>0.49074074074074098</v>
          </cell>
          <cell r="Q172">
            <v>0.413612565445026</v>
          </cell>
          <cell r="R172">
            <v>0.413612565445026</v>
          </cell>
          <cell r="S172">
            <v>0.413612565445026</v>
          </cell>
          <cell r="T172">
            <v>0.49009900990098998</v>
          </cell>
          <cell r="U172">
            <v>60.14326712500003</v>
          </cell>
          <cell r="V172">
            <v>60.584559896439764</v>
          </cell>
          <cell r="W172">
            <v>57.915636552984267</v>
          </cell>
          <cell r="X172">
            <v>53.64535920345547</v>
          </cell>
          <cell r="Y172">
            <v>64.196195844653445</v>
          </cell>
          <cell r="Z172">
            <v>296.485018622533</v>
          </cell>
          <cell r="AA172">
            <v>518848.78258943278</v>
          </cell>
        </row>
        <row r="173">
          <cell r="E173">
            <v>4004</v>
          </cell>
          <cell r="F173" t="str">
            <v>UTC Sheffield City Centre</v>
          </cell>
          <cell r="G173">
            <v>312</v>
          </cell>
          <cell r="I173">
            <v>0</v>
          </cell>
          <cell r="J173">
            <v>0</v>
          </cell>
          <cell r="K173">
            <v>104</v>
          </cell>
          <cell r="L173">
            <v>103</v>
          </cell>
          <cell r="M173">
            <v>105</v>
          </cell>
          <cell r="N173">
            <v>0</v>
          </cell>
          <cell r="O173">
            <v>0</v>
          </cell>
          <cell r="Q173">
            <v>0</v>
          </cell>
          <cell r="R173">
            <v>0.22549019607843099</v>
          </cell>
          <cell r="S173">
            <v>0.22549019607843099</v>
          </cell>
          <cell r="T173">
            <v>0.30392156862745101</v>
          </cell>
          <cell r="U173">
            <v>0</v>
          </cell>
          <cell r="V173">
            <v>0</v>
          </cell>
          <cell r="W173">
            <v>15.132245541960758</v>
          </cell>
          <cell r="X173">
            <v>14.986743180980367</v>
          </cell>
          <cell r="Y173">
            <v>20.291262486764708</v>
          </cell>
          <cell r="Z173">
            <v>50.410251209705834</v>
          </cell>
          <cell r="AA173">
            <v>88217.939616985212</v>
          </cell>
        </row>
        <row r="174">
          <cell r="E174">
            <v>4010</v>
          </cell>
          <cell r="F174" t="str">
            <v>UTC Sheffield Olympic Legacy Park</v>
          </cell>
          <cell r="G174">
            <v>301</v>
          </cell>
          <cell r="I174">
            <v>0</v>
          </cell>
          <cell r="J174">
            <v>0</v>
          </cell>
          <cell r="K174">
            <v>100</v>
          </cell>
          <cell r="L174">
            <v>105</v>
          </cell>
          <cell r="M174">
            <v>96</v>
          </cell>
          <cell r="N174">
            <v>0</v>
          </cell>
          <cell r="O174">
            <v>0</v>
          </cell>
          <cell r="Q174">
            <v>0</v>
          </cell>
          <cell r="R174">
            <v>0.29292929292929298</v>
          </cell>
          <cell r="S174">
            <v>0.29292929292929298</v>
          </cell>
          <cell r="T174">
            <v>0.35632183908046</v>
          </cell>
          <cell r="U174">
            <v>0</v>
          </cell>
          <cell r="V174">
            <v>0</v>
          </cell>
          <cell r="W174">
            <v>18.901887737373741</v>
          </cell>
          <cell r="X174">
            <v>19.846982124242427</v>
          </cell>
          <cell r="Y174">
            <v>21.750634074482772</v>
          </cell>
          <cell r="Z174">
            <v>60.499503936098947</v>
          </cell>
          <cell r="AA174">
            <v>105874.13188817316</v>
          </cell>
        </row>
        <row r="175">
          <cell r="E175">
            <v>4013</v>
          </cell>
          <cell r="F175" t="str">
            <v>Westfield School</v>
          </cell>
          <cell r="G175">
            <v>1245</v>
          </cell>
          <cell r="I175">
            <v>270</v>
          </cell>
          <cell r="J175">
            <v>261</v>
          </cell>
          <cell r="K175">
            <v>239</v>
          </cell>
          <cell r="L175">
            <v>252</v>
          </cell>
          <cell r="M175">
            <v>223</v>
          </cell>
          <cell r="N175">
            <v>0</v>
          </cell>
          <cell r="O175">
            <v>0.427509293680297</v>
          </cell>
          <cell r="Q175">
            <v>0.34136546184738997</v>
          </cell>
          <cell r="R175">
            <v>0.34136546184738997</v>
          </cell>
          <cell r="S175">
            <v>0.34136546184738997</v>
          </cell>
          <cell r="T175">
            <v>0.445945945945946</v>
          </cell>
          <cell r="U175">
            <v>62.872641736059421</v>
          </cell>
          <cell r="V175">
            <v>57.49134408795188</v>
          </cell>
          <cell r="W175">
            <v>52.645330410040224</v>
          </cell>
          <cell r="X175">
            <v>55.508883946988021</v>
          </cell>
          <cell r="Y175">
            <v>63.233224832027027</v>
          </cell>
          <cell r="Z175">
            <v>291.75142501306658</v>
          </cell>
          <cell r="AA175">
            <v>510564.9937728665</v>
          </cell>
        </row>
        <row r="176">
          <cell r="E176">
            <v>4016</v>
          </cell>
          <cell r="F176" t="str">
            <v>Yewlands Academy</v>
          </cell>
          <cell r="G176">
            <v>901</v>
          </cell>
          <cell r="I176">
            <v>208</v>
          </cell>
          <cell r="J176">
            <v>198</v>
          </cell>
          <cell r="K176">
            <v>172</v>
          </cell>
          <cell r="L176">
            <v>169</v>
          </cell>
          <cell r="M176">
            <v>154</v>
          </cell>
          <cell r="N176">
            <v>0</v>
          </cell>
          <cell r="O176">
            <v>0.55825242718446599</v>
          </cell>
          <cell r="Q176">
            <v>0.37804878048780499</v>
          </cell>
          <cell r="R176">
            <v>0.37804878048780499</v>
          </cell>
          <cell r="S176">
            <v>0.37804878048780499</v>
          </cell>
          <cell r="T176">
            <v>0.40909090909090901</v>
          </cell>
          <cell r="U176">
            <v>63.247933304854371</v>
          </cell>
          <cell r="V176">
            <v>48.300920547804886</v>
          </cell>
          <cell r="W176">
            <v>41.958375425365865</v>
          </cell>
          <cell r="X176">
            <v>41.226543295853673</v>
          </cell>
          <cell r="Y176">
            <v>40.058879489999988</v>
          </cell>
          <cell r="Z176">
            <v>234.79265206387879</v>
          </cell>
          <cell r="AA176">
            <v>410887.14111178787</v>
          </cell>
        </row>
        <row r="177">
          <cell r="E177">
            <v>0</v>
          </cell>
          <cell r="F177">
            <v>0</v>
          </cell>
        </row>
        <row r="178">
          <cell r="E178">
            <v>0</v>
          </cell>
          <cell r="F178" t="str">
            <v>Total Secondary</v>
          </cell>
          <cell r="G178">
            <v>27959</v>
          </cell>
          <cell r="H178">
            <v>0</v>
          </cell>
          <cell r="I178">
            <v>5644</v>
          </cell>
          <cell r="J178">
            <v>5565</v>
          </cell>
          <cell r="K178">
            <v>5667</v>
          </cell>
          <cell r="L178">
            <v>5616</v>
          </cell>
          <cell r="M178">
            <v>5467</v>
          </cell>
          <cell r="N178">
            <v>0</v>
          </cell>
          <cell r="O178">
            <v>0.20186701956436209</v>
          </cell>
          <cell r="Q178">
            <v>0.19904145355699418</v>
          </cell>
          <cell r="R178">
            <v>0.20268965270574771</v>
          </cell>
          <cell r="S178">
            <v>0.20086555313137094</v>
          </cell>
          <cell r="U178">
            <v>1331.5867700853903</v>
          </cell>
          <cell r="V178">
            <v>1273.3229985447147</v>
          </cell>
          <cell r="W178">
            <v>1280.9859172494043</v>
          </cell>
          <cell r="X178">
            <v>1256.8405174493457</v>
          </cell>
          <cell r="Y178">
            <v>1265.8929782960813</v>
          </cell>
          <cell r="Z178">
            <v>6408.6291816249368</v>
          </cell>
          <cell r="AA178">
            <v>11215101.06784364</v>
          </cell>
        </row>
        <row r="179">
          <cell r="E179">
            <v>0</v>
          </cell>
          <cell r="F179">
            <v>0</v>
          </cell>
          <cell r="G179">
            <v>0</v>
          </cell>
          <cell r="Z179">
            <v>0.22921525024589351</v>
          </cell>
          <cell r="AA179">
            <v>0</v>
          </cell>
        </row>
        <row r="180">
          <cell r="E180">
            <v>0</v>
          </cell>
          <cell r="F180" t="str">
            <v>Middle Deemed Secondary</v>
          </cell>
        </row>
        <row r="181">
          <cell r="E181">
            <v>0</v>
          </cell>
          <cell r="F181">
            <v>0</v>
          </cell>
        </row>
        <row r="182">
          <cell r="E182">
            <v>4014</v>
          </cell>
          <cell r="F182" t="str">
            <v>Astrea Academy Sheffield</v>
          </cell>
          <cell r="G182">
            <v>979</v>
          </cell>
          <cell r="H182">
            <v>50</v>
          </cell>
          <cell r="I182">
            <v>344</v>
          </cell>
          <cell r="J182">
            <v>148</v>
          </cell>
          <cell r="K182">
            <v>141</v>
          </cell>
          <cell r="L182">
            <v>149</v>
          </cell>
          <cell r="M182">
            <v>147</v>
          </cell>
          <cell r="N182">
            <v>0</v>
          </cell>
          <cell r="O182">
            <v>0.13282714881318664</v>
          </cell>
          <cell r="P182">
            <v>0.45926113360323884</v>
          </cell>
          <cell r="Q182">
            <v>0.41549295774647899</v>
          </cell>
          <cell r="R182">
            <v>0.41549295774647899</v>
          </cell>
          <cell r="S182">
            <v>0</v>
          </cell>
          <cell r="U182">
            <v>130.03777868810971</v>
          </cell>
          <cell r="V182">
            <v>39.679643245633812</v>
          </cell>
          <cell r="W182">
            <v>37.802903362394375</v>
          </cell>
          <cell r="X182">
            <v>39.947748943239446</v>
          </cell>
          <cell r="Y182">
            <v>31.935828926750034</v>
          </cell>
          <cell r="Z182">
            <v>302.36695984628926</v>
          </cell>
          <cell r="AA182">
            <v>462739.90872898197</v>
          </cell>
        </row>
        <row r="183">
          <cell r="E183">
            <v>4225</v>
          </cell>
          <cell r="F183" t="str">
            <v>Hinde House 2-16 School</v>
          </cell>
          <cell r="G183">
            <v>1322</v>
          </cell>
          <cell r="H183">
            <v>60</v>
          </cell>
          <cell r="I183">
            <v>546</v>
          </cell>
          <cell r="J183">
            <v>195</v>
          </cell>
          <cell r="K183">
            <v>196</v>
          </cell>
          <cell r="L183">
            <v>174</v>
          </cell>
          <cell r="M183">
            <v>151</v>
          </cell>
          <cell r="N183">
            <v>0</v>
          </cell>
          <cell r="O183">
            <v>0.13492483191730742</v>
          </cell>
          <cell r="P183">
            <v>0.34491327468813671</v>
          </cell>
          <cell r="Q183">
            <v>0.52795031055900599</v>
          </cell>
          <cell r="R183">
            <v>0.52795031055900599</v>
          </cell>
          <cell r="S183">
            <v>0</v>
          </cell>
          <cell r="U183">
            <v>178.37062779468042</v>
          </cell>
          <cell r="V183">
            <v>66.43088484782605</v>
          </cell>
          <cell r="W183">
            <v>66.771556052173878</v>
          </cell>
          <cell r="X183">
            <v>59.276789556521713</v>
          </cell>
          <cell r="Y183">
            <v>39.11687174185181</v>
          </cell>
          <cell r="Z183">
            <v>430.66152647434211</v>
          </cell>
          <cell r="AA183">
            <v>667669.0673839727</v>
          </cell>
        </row>
        <row r="184">
          <cell r="E184">
            <v>4005</v>
          </cell>
          <cell r="F184" t="str">
            <v>Oasis Academy Don Valley</v>
          </cell>
          <cell r="G184">
            <v>1061</v>
          </cell>
          <cell r="H184">
            <v>58</v>
          </cell>
          <cell r="I184">
            <v>511</v>
          </cell>
          <cell r="J184">
            <v>124</v>
          </cell>
          <cell r="K184">
            <v>127</v>
          </cell>
          <cell r="L184">
            <v>121</v>
          </cell>
          <cell r="M184">
            <v>120</v>
          </cell>
          <cell r="N184">
            <v>0</v>
          </cell>
          <cell r="O184">
            <v>0.10422403620048128</v>
          </cell>
          <cell r="P184">
            <v>0.21167688616368965</v>
          </cell>
          <cell r="Q184">
            <v>0.38983050847457601</v>
          </cell>
          <cell r="R184">
            <v>0.38983050847457601</v>
          </cell>
          <cell r="S184">
            <v>0</v>
          </cell>
          <cell r="U184">
            <v>110.58170240871064</v>
          </cell>
          <cell r="V184">
            <v>31.191760367457604</v>
          </cell>
          <cell r="W184">
            <v>31.946399731186418</v>
          </cell>
          <cell r="X184">
            <v>30.437121003728791</v>
          </cell>
          <cell r="Y184">
            <v>40.003319324271835</v>
          </cell>
          <cell r="Z184">
            <v>256.4375622328493</v>
          </cell>
          <cell r="AA184">
            <v>396623.36653878458</v>
          </cell>
        </row>
        <row r="186">
          <cell r="F186" t="str">
            <v>Total Middle Deemed Secondary</v>
          </cell>
          <cell r="G186">
            <v>3362</v>
          </cell>
          <cell r="H186">
            <v>168</v>
          </cell>
          <cell r="I186">
            <v>1401</v>
          </cell>
          <cell r="J186">
            <v>467</v>
          </cell>
          <cell r="K186">
            <v>464</v>
          </cell>
          <cell r="L186">
            <v>444</v>
          </cell>
          <cell r="M186">
            <v>418</v>
          </cell>
          <cell r="N186">
            <v>0</v>
          </cell>
          <cell r="U186">
            <v>418.99010889150077</v>
          </cell>
          <cell r="V186">
            <v>137.30228846091745</v>
          </cell>
          <cell r="W186">
            <v>136.52085914575468</v>
          </cell>
          <cell r="X186">
            <v>129.66165950348994</v>
          </cell>
          <cell r="Y186">
            <v>111.05601999287367</v>
          </cell>
          <cell r="Z186">
            <v>989.46604855348073</v>
          </cell>
          <cell r="AA186">
            <v>1527032.3426517393</v>
          </cell>
        </row>
        <row r="188">
          <cell r="F188" t="str">
            <v>TOTAL ALL SCHOOLS</v>
          </cell>
          <cell r="G188">
            <v>74732</v>
          </cell>
          <cell r="H188">
            <v>6068</v>
          </cell>
          <cell r="I188">
            <v>44556</v>
          </cell>
          <cell r="J188">
            <v>6032</v>
          </cell>
          <cell r="K188">
            <v>6131</v>
          </cell>
          <cell r="L188">
            <v>6060</v>
          </cell>
          <cell r="M188">
            <v>5885</v>
          </cell>
          <cell r="N188">
            <v>0</v>
          </cell>
          <cell r="U188">
            <v>13211.447147087238</v>
          </cell>
          <cell r="V188">
            <v>1410.6252870056321</v>
          </cell>
          <cell r="W188">
            <v>1417.506776395159</v>
          </cell>
          <cell r="X188">
            <v>1386.5021769528357</v>
          </cell>
          <cell r="Y188">
            <v>14653.291399861886</v>
          </cell>
          <cell r="Z188">
            <v>20674.437631751349</v>
          </cell>
          <cell r="AA188">
            <v>28076308.884312123</v>
          </cell>
        </row>
        <row r="189">
          <cell r="G189">
            <v>0</v>
          </cell>
          <cell r="K189">
            <v>0</v>
          </cell>
          <cell r="Z189">
            <v>0.27664772295337137</v>
          </cell>
          <cell r="AA189">
            <v>0</v>
          </cell>
        </row>
        <row r="190">
          <cell r="Z190">
            <v>7054.3418817467336</v>
          </cell>
        </row>
        <row r="191">
          <cell r="G191" t="str">
            <v>Pupils NOR</v>
          </cell>
          <cell r="H191" t="str">
            <v>Recep</v>
          </cell>
          <cell r="I191" t="str">
            <v>Pri Y1-6, Sec Y7</v>
          </cell>
          <cell r="J191" t="str">
            <v>Y8</v>
          </cell>
          <cell r="K191" t="str">
            <v>Y9</v>
          </cell>
          <cell r="L191" t="str">
            <v>Y10</v>
          </cell>
          <cell r="M191" t="str">
            <v>Y11</v>
          </cell>
          <cell r="O191" t="str">
            <v>Proportion of Y1-6 EYFSP &amp; Y7 Pupils Under New Method</v>
          </cell>
          <cell r="P191" t="str">
            <v>col req. for 3-16 schools primary aged pupils</v>
          </cell>
          <cell r="Q191" t="str">
            <v>Proportion of Y8 Pupils Under New Method</v>
          </cell>
          <cell r="R191" t="str">
            <v>Proportion of Y9 Pupils Under New Method</v>
          </cell>
          <cell r="S191" t="str">
            <v>No. of Low Attain Y1-6 &amp; Proportion of Y10 Pupils Under Old Method</v>
          </cell>
          <cell r="T191" t="str">
            <v>Proportion of Y11 Pupils Under Old Method</v>
          </cell>
          <cell r="U191" t="str">
            <v>No. of Low Attain Pupils Y7</v>
          </cell>
          <cell r="V191" t="str">
            <v>No. of Low Attain Pupils Y8</v>
          </cell>
          <cell r="W191" t="str">
            <v>No. of Low Attain Pupils Y9</v>
          </cell>
          <cell r="X191" t="str">
            <v>No. of Low Attain Pupils Y10</v>
          </cell>
          <cell r="Y191" t="str">
            <v>No. of Low Attain Pupils Y11</v>
          </cell>
          <cell r="Z191" t="str">
            <v>No of Weighted Low Attain Pupils as Proportion of Whole School</v>
          </cell>
        </row>
        <row r="193">
          <cell r="E193">
            <v>4014</v>
          </cell>
          <cell r="F193" t="str">
            <v>Astrea Academy (Woodside) Pri</v>
          </cell>
          <cell r="G193">
            <v>243</v>
          </cell>
          <cell r="H193">
            <v>50</v>
          </cell>
          <cell r="I193">
            <v>193.00000000000003</v>
          </cell>
          <cell r="O193">
            <v>0.45926113360323884</v>
          </cell>
          <cell r="P193">
            <v>0.45926113360323884</v>
          </cell>
          <cell r="S193">
            <v>88.637398785425106</v>
          </cell>
          <cell r="V193">
            <v>0</v>
          </cell>
          <cell r="Z193">
            <v>111.60045546558703</v>
          </cell>
          <cell r="AA193">
            <v>128898.52606275302</v>
          </cell>
        </row>
        <row r="194">
          <cell r="E194">
            <v>4014</v>
          </cell>
          <cell r="F194" t="str">
            <v>Astrea Academy (Woodside) Sec</v>
          </cell>
          <cell r="G194">
            <v>736</v>
          </cell>
          <cell r="I194">
            <v>151</v>
          </cell>
          <cell r="J194">
            <v>148</v>
          </cell>
          <cell r="K194">
            <v>141</v>
          </cell>
          <cell r="L194">
            <v>149</v>
          </cell>
          <cell r="M194">
            <v>147</v>
          </cell>
          <cell r="N194" t="str">
            <v/>
          </cell>
          <cell r="O194">
            <v>0.50335570469798696</v>
          </cell>
          <cell r="Q194">
            <v>0.41549295774647899</v>
          </cell>
          <cell r="R194">
            <v>0.41549295774647899</v>
          </cell>
          <cell r="S194">
            <v>0.41549295774647899</v>
          </cell>
          <cell r="T194">
            <v>0.34166666666666701</v>
          </cell>
          <cell r="U194">
            <v>41.400379902684598</v>
          </cell>
          <cell r="V194">
            <v>39.679643245633812</v>
          </cell>
          <cell r="W194">
            <v>37.802903362394375</v>
          </cell>
          <cell r="X194">
            <v>39.947748943239446</v>
          </cell>
          <cell r="Y194">
            <v>31.935828926750034</v>
          </cell>
          <cell r="Z194">
            <v>190.76650438070223</v>
          </cell>
          <cell r="AA194">
            <v>333841.38266622892</v>
          </cell>
        </row>
        <row r="195">
          <cell r="G195">
            <v>979</v>
          </cell>
          <cell r="H195">
            <v>50</v>
          </cell>
          <cell r="I195">
            <v>344</v>
          </cell>
          <cell r="J195">
            <v>148</v>
          </cell>
          <cell r="K195">
            <v>141</v>
          </cell>
          <cell r="L195">
            <v>149</v>
          </cell>
          <cell r="M195">
            <v>147</v>
          </cell>
          <cell r="O195">
            <v>0.13282714881318664</v>
          </cell>
          <cell r="P195">
            <v>0.45926113360323884</v>
          </cell>
          <cell r="Q195">
            <v>0.41549295774647899</v>
          </cell>
          <cell r="R195">
            <v>0.41549295774647899</v>
          </cell>
          <cell r="U195">
            <v>130.03777868810971</v>
          </cell>
          <cell r="V195">
            <v>39.679643245633812</v>
          </cell>
          <cell r="W195">
            <v>37.802903362394375</v>
          </cell>
          <cell r="X195">
            <v>39.947748943239446</v>
          </cell>
          <cell r="Y195">
            <v>31.935828926750034</v>
          </cell>
          <cell r="Z195">
            <v>302.36695984628926</v>
          </cell>
          <cell r="AA195">
            <v>462739.90872898197</v>
          </cell>
        </row>
        <row r="197">
          <cell r="E197">
            <v>4225</v>
          </cell>
          <cell r="F197" t="str">
            <v>Hinde House (Brigantia) - Pri</v>
          </cell>
          <cell r="G197">
            <v>419</v>
          </cell>
          <cell r="H197">
            <v>60</v>
          </cell>
          <cell r="I197">
            <v>359</v>
          </cell>
          <cell r="N197" t="str">
            <v/>
          </cell>
          <cell r="O197">
            <v>0.34491327468813671</v>
          </cell>
          <cell r="P197">
            <v>0.34491327468813671</v>
          </cell>
          <cell r="S197">
            <v>123.82386561304108</v>
          </cell>
          <cell r="V197">
            <v>0</v>
          </cell>
          <cell r="Z197">
            <v>144.51866209432927</v>
          </cell>
          <cell r="AA197">
            <v>166919.0547189503</v>
          </cell>
        </row>
        <row r="198">
          <cell r="E198">
            <v>4225</v>
          </cell>
          <cell r="F198" t="str">
            <v>Hinde House (Brigantia) - Sec</v>
          </cell>
          <cell r="G198">
            <v>903</v>
          </cell>
          <cell r="I198">
            <v>187</v>
          </cell>
          <cell r="J198">
            <v>195</v>
          </cell>
          <cell r="K198">
            <v>196</v>
          </cell>
          <cell r="L198">
            <v>174</v>
          </cell>
          <cell r="M198">
            <v>151</v>
          </cell>
          <cell r="N198" t="str">
            <v/>
          </cell>
          <cell r="O198">
            <v>0.53551912568306004</v>
          </cell>
          <cell r="Q198">
            <v>0.52795031055900599</v>
          </cell>
          <cell r="R198">
            <v>0.52795031055900599</v>
          </cell>
          <cell r="S198">
            <v>0.52795031055900599</v>
          </cell>
          <cell r="T198">
            <v>0.407407407407407</v>
          </cell>
          <cell r="U198">
            <v>54.546762181639338</v>
          </cell>
          <cell r="V198">
            <v>66.43088484782605</v>
          </cell>
          <cell r="W198">
            <v>66.771556052173878</v>
          </cell>
          <cell r="X198">
            <v>59.276789556521713</v>
          </cell>
          <cell r="Y198">
            <v>39.11687174185181</v>
          </cell>
          <cell r="Z198">
            <v>286.14286438001284</v>
          </cell>
          <cell r="AA198">
            <v>500750.01266502246</v>
          </cell>
        </row>
        <row r="199">
          <cell r="G199">
            <v>1322</v>
          </cell>
          <cell r="H199">
            <v>60</v>
          </cell>
          <cell r="I199">
            <v>546</v>
          </cell>
          <cell r="J199">
            <v>195</v>
          </cell>
          <cell r="K199">
            <v>196</v>
          </cell>
          <cell r="L199">
            <v>174</v>
          </cell>
          <cell r="M199">
            <v>151</v>
          </cell>
          <cell r="O199">
            <v>0.13492483191730742</v>
          </cell>
          <cell r="P199">
            <v>0.34491327468813671</v>
          </cell>
          <cell r="Q199">
            <v>0.52795031055900599</v>
          </cell>
          <cell r="R199">
            <v>0.52795031055900599</v>
          </cell>
          <cell r="U199">
            <v>178.37062779468042</v>
          </cell>
          <cell r="V199">
            <v>66.43088484782605</v>
          </cell>
          <cell r="W199">
            <v>66.771556052173878</v>
          </cell>
          <cell r="X199">
            <v>59.276789556521713</v>
          </cell>
          <cell r="Y199">
            <v>39.11687174185181</v>
          </cell>
          <cell r="Z199">
            <v>430.66152647434211</v>
          </cell>
          <cell r="AA199">
            <v>667669.0673839727</v>
          </cell>
        </row>
        <row r="201">
          <cell r="E201">
            <v>4005</v>
          </cell>
          <cell r="F201" t="str">
            <v>Oasis Academy Don Valley - Pri</v>
          </cell>
          <cell r="G201">
            <v>414</v>
          </cell>
          <cell r="H201">
            <v>58</v>
          </cell>
          <cell r="I201">
            <v>356</v>
          </cell>
          <cell r="O201">
            <v>0.21167688616368965</v>
          </cell>
          <cell r="P201">
            <v>0.21167688616368965</v>
          </cell>
          <cell r="S201">
            <v>75.356971474273521</v>
          </cell>
          <cell r="V201">
            <v>0</v>
          </cell>
          <cell r="Z201">
            <v>87.634230871767514</v>
          </cell>
          <cell r="AA201">
            <v>101217.53665689148</v>
          </cell>
        </row>
        <row r="202">
          <cell r="E202">
            <v>4005</v>
          </cell>
          <cell r="F202" t="str">
            <v>Oasis Academy Don Valley - Sec</v>
          </cell>
          <cell r="G202">
            <v>647</v>
          </cell>
          <cell r="I202">
            <v>155</v>
          </cell>
          <cell r="J202">
            <v>124</v>
          </cell>
          <cell r="K202">
            <v>127</v>
          </cell>
          <cell r="L202">
            <v>121</v>
          </cell>
          <cell r="M202">
            <v>120</v>
          </cell>
          <cell r="O202">
            <v>0.41721854304635803</v>
          </cell>
          <cell r="Q202">
            <v>0.38983050847457601</v>
          </cell>
          <cell r="R202">
            <v>0.38983050847457601</v>
          </cell>
          <cell r="S202">
            <v>0.38983050847457601</v>
          </cell>
          <cell r="T202">
            <v>0.52427184466019405</v>
          </cell>
          <cell r="U202">
            <v>35.224730934437126</v>
          </cell>
          <cell r="V202">
            <v>31.191760367457604</v>
          </cell>
          <cell r="W202">
            <v>31.946399731186418</v>
          </cell>
          <cell r="X202">
            <v>30.437121003728791</v>
          </cell>
          <cell r="Y202">
            <v>40.003319324271835</v>
          </cell>
          <cell r="Z202">
            <v>168.80333136108177</v>
          </cell>
          <cell r="AA202">
            <v>295405.82988189312</v>
          </cell>
        </row>
        <row r="203">
          <cell r="G203">
            <v>1061</v>
          </cell>
          <cell r="H203">
            <v>58</v>
          </cell>
          <cell r="I203">
            <v>511</v>
          </cell>
          <cell r="J203">
            <v>124</v>
          </cell>
          <cell r="K203">
            <v>127</v>
          </cell>
          <cell r="L203">
            <v>121</v>
          </cell>
          <cell r="M203">
            <v>120</v>
          </cell>
          <cell r="O203">
            <v>0.10422403620048128</v>
          </cell>
          <cell r="P203">
            <v>0.21167688616368965</v>
          </cell>
          <cell r="Q203">
            <v>0.38983050847457601</v>
          </cell>
          <cell r="R203">
            <v>0.38983050847457601</v>
          </cell>
          <cell r="U203">
            <v>110.58170240871064</v>
          </cell>
          <cell r="V203">
            <v>31.191760367457604</v>
          </cell>
          <cell r="W203">
            <v>31.946399731186418</v>
          </cell>
          <cell r="X203">
            <v>30.437121003728791</v>
          </cell>
          <cell r="Y203">
            <v>40.003319324271835</v>
          </cell>
          <cell r="Z203">
            <v>256.4375622328493</v>
          </cell>
          <cell r="AA203">
            <v>396623.36653878458</v>
          </cell>
        </row>
        <row r="205">
          <cell r="U205">
            <v>0.32668613149208869</v>
          </cell>
          <cell r="V205">
            <v>0.23385697728873212</v>
          </cell>
        </row>
        <row r="206">
          <cell r="F206" t="str">
            <v>Primary/Secondary</v>
          </cell>
          <cell r="O206">
            <v>37511</v>
          </cell>
        </row>
        <row r="207">
          <cell r="F207" t="str">
            <v>Hinde House</v>
          </cell>
          <cell r="O207">
            <v>11460.870268110346</v>
          </cell>
          <cell r="V207">
            <v>0.19566012463326113</v>
          </cell>
          <cell r="AA207" t="str">
            <v>Pri</v>
          </cell>
        </row>
        <row r="208">
          <cell r="F208" t="str">
            <v>Total Low Attain Pupils</v>
          </cell>
          <cell r="O208">
            <v>26050.129731889654</v>
          </cell>
          <cell r="U208">
            <v>8717.832513159583</v>
          </cell>
          <cell r="AA208">
            <v>13276.342401572931</v>
          </cell>
        </row>
        <row r="209">
          <cell r="O209">
            <v>0.43995444115122201</v>
          </cell>
          <cell r="U209">
            <v>0.65986961277604073</v>
          </cell>
          <cell r="AA209">
            <v>343.75334843168378</v>
          </cell>
        </row>
        <row r="210">
          <cell r="O210">
            <v>0.56004555884877805</v>
          </cell>
          <cell r="AA210">
            <v>13620.095750004615</v>
          </cell>
        </row>
        <row r="211">
          <cell r="AA211">
            <v>0</v>
          </cell>
        </row>
        <row r="212">
          <cell r="P212" t="str">
            <v>Check proportion: n/a now all under EYFSP</v>
          </cell>
          <cell r="Z212">
            <v>1130</v>
          </cell>
          <cell r="AA212">
            <v>1155</v>
          </cell>
        </row>
        <row r="213">
          <cell r="P213" t="str">
            <v>NOR Y1-5</v>
          </cell>
          <cell r="Q213" t="str">
            <v>NOR Y6</v>
          </cell>
          <cell r="S213" t="str">
            <v>Low At Y1-5</v>
          </cell>
          <cell r="U213" t="str">
            <v>Low At Y6</v>
          </cell>
          <cell r="Y213">
            <v>340502.39375011623</v>
          </cell>
          <cell r="Z213">
            <v>15390708.197505215</v>
          </cell>
          <cell r="AA213">
            <v>15731210.591255331</v>
          </cell>
        </row>
        <row r="214">
          <cell r="P214">
            <v>44556</v>
          </cell>
          <cell r="Q214">
            <v>6032</v>
          </cell>
          <cell r="S214">
            <v>11748.688503983087</v>
          </cell>
          <cell r="U214">
            <v>0</v>
          </cell>
          <cell r="AA214">
            <v>0.30615900712578092</v>
          </cell>
        </row>
        <row r="215">
          <cell r="S215">
            <v>0.2636836453896913</v>
          </cell>
          <cell r="U215">
            <v>0</v>
          </cell>
          <cell r="AA215" t="str">
            <v>Low Attain Pupils</v>
          </cell>
        </row>
        <row r="216">
          <cell r="U216">
            <v>0.2636836453896913</v>
          </cell>
        </row>
      </sheetData>
      <sheetData sheetId="21">
        <row r="1">
          <cell r="D1" t="str">
            <v>EAL Funding</v>
          </cell>
          <cell r="G1" t="str">
            <v>2023-24</v>
          </cell>
        </row>
        <row r="2">
          <cell r="J2" t="str">
            <v>2022-23</v>
          </cell>
        </row>
        <row r="3">
          <cell r="I3" t="str">
            <v>Primary</v>
          </cell>
          <cell r="J3">
            <v>565</v>
          </cell>
        </row>
        <row r="4">
          <cell r="I4" t="str">
            <v>Secondary</v>
          </cell>
          <cell r="J4">
            <v>1530</v>
          </cell>
        </row>
        <row r="6">
          <cell r="D6" t="str">
            <v>DfE</v>
          </cell>
          <cell r="E6" t="str">
            <v>School</v>
          </cell>
          <cell r="G6" t="str">
            <v>Pupil No.</v>
          </cell>
          <cell r="H6" t="str">
            <v>EAL %</v>
          </cell>
          <cell r="I6" t="str">
            <v>No. EAL</v>
          </cell>
          <cell r="J6" t="str">
            <v>Amount £</v>
          </cell>
        </row>
        <row r="7">
          <cell r="H7">
            <v>43</v>
          </cell>
        </row>
        <row r="8">
          <cell r="D8">
            <v>2001</v>
          </cell>
          <cell r="E8" t="str">
            <v>Abbey Lane Primary School</v>
          </cell>
          <cell r="G8">
            <v>546</v>
          </cell>
          <cell r="H8">
            <v>2.7196652719665301E-2</v>
          </cell>
          <cell r="I8">
            <v>14.849372384937254</v>
          </cell>
          <cell r="J8">
            <v>8612.6359832636081</v>
          </cell>
        </row>
        <row r="9">
          <cell r="D9">
            <v>2046</v>
          </cell>
          <cell r="E9" t="str">
            <v>Abbeyfield Primary Academy</v>
          </cell>
          <cell r="G9">
            <v>372</v>
          </cell>
          <cell r="H9">
            <v>0.35403726708074501</v>
          </cell>
          <cell r="I9">
            <v>131.70186335403713</v>
          </cell>
          <cell r="J9">
            <v>76387.080745341533</v>
          </cell>
        </row>
        <row r="10">
          <cell r="D10">
            <v>2048</v>
          </cell>
          <cell r="E10" t="str">
            <v>Acres Hill Community Primary School</v>
          </cell>
          <cell r="G10">
            <v>205</v>
          </cell>
          <cell r="H10">
            <v>0.31073446327683601</v>
          </cell>
          <cell r="I10">
            <v>63.700564971751383</v>
          </cell>
          <cell r="J10">
            <v>36946.327683615804</v>
          </cell>
        </row>
        <row r="11">
          <cell r="D11">
            <v>2342</v>
          </cell>
          <cell r="E11" t="str">
            <v>Angram Bank Primary School</v>
          </cell>
          <cell r="G11">
            <v>184</v>
          </cell>
          <cell r="H11">
            <v>1.1904761904761901E-2</v>
          </cell>
          <cell r="I11">
            <v>2.1904761904761898</v>
          </cell>
          <cell r="J11">
            <v>1270.4761904761901</v>
          </cell>
        </row>
        <row r="12">
          <cell r="D12">
            <v>2343</v>
          </cell>
          <cell r="E12" t="str">
            <v>Anns Grove Primary School</v>
          </cell>
          <cell r="G12">
            <v>334</v>
          </cell>
          <cell r="H12">
            <v>0.256410256410256</v>
          </cell>
          <cell r="I12">
            <v>85.641025641025507</v>
          </cell>
          <cell r="J12">
            <v>49671.794871794795</v>
          </cell>
        </row>
        <row r="13">
          <cell r="D13">
            <v>3429</v>
          </cell>
          <cell r="E13" t="str">
            <v>Arbourthorne Community Primary School</v>
          </cell>
          <cell r="G13">
            <v>420</v>
          </cell>
          <cell r="H13">
            <v>0.13407821229050301</v>
          </cell>
          <cell r="I13">
            <v>56.312849162011268</v>
          </cell>
          <cell r="J13">
            <v>32661.452513966535</v>
          </cell>
        </row>
        <row r="14">
          <cell r="D14">
            <v>2340</v>
          </cell>
          <cell r="E14" t="str">
            <v>Athelstan Primary School</v>
          </cell>
          <cell r="G14">
            <v>614</v>
          </cell>
          <cell r="H14">
            <v>8.7619047619047596E-2</v>
          </cell>
          <cell r="I14">
            <v>53.798095238095222</v>
          </cell>
          <cell r="J14">
            <v>31202.895238095229</v>
          </cell>
        </row>
        <row r="15">
          <cell r="D15">
            <v>2281</v>
          </cell>
          <cell r="E15" t="str">
            <v>Ballifield Primary School</v>
          </cell>
          <cell r="G15">
            <v>415</v>
          </cell>
          <cell r="H15">
            <v>2.25352112676056E-2</v>
          </cell>
          <cell r="I15">
            <v>9.3521126760563238</v>
          </cell>
          <cell r="J15">
            <v>5424.2253521126677</v>
          </cell>
        </row>
        <row r="16">
          <cell r="D16">
            <v>2322</v>
          </cell>
          <cell r="E16" t="str">
            <v>Bankwood Community Primary School</v>
          </cell>
          <cell r="G16">
            <v>384</v>
          </cell>
          <cell r="H16">
            <v>0.192192192192192</v>
          </cell>
          <cell r="I16">
            <v>73.80180180180173</v>
          </cell>
          <cell r="J16">
            <v>42805.045045045001</v>
          </cell>
        </row>
        <row r="17">
          <cell r="D17">
            <v>2274</v>
          </cell>
          <cell r="E17" t="str">
            <v>Beck Primary School</v>
          </cell>
          <cell r="G17">
            <v>615</v>
          </cell>
          <cell r="H17">
            <v>0.104166666666667</v>
          </cell>
          <cell r="I17">
            <v>64.062500000000213</v>
          </cell>
          <cell r="J17">
            <v>37156.250000000124</v>
          </cell>
        </row>
        <row r="18">
          <cell r="D18">
            <v>2241</v>
          </cell>
          <cell r="E18" t="str">
            <v>Beighton Nursery Infant School</v>
          </cell>
          <cell r="G18">
            <v>242</v>
          </cell>
          <cell r="H18">
            <v>0.05</v>
          </cell>
          <cell r="I18">
            <v>12.100000000000001</v>
          </cell>
          <cell r="J18">
            <v>7018.0000000000009</v>
          </cell>
        </row>
        <row r="19">
          <cell r="D19">
            <v>2353</v>
          </cell>
          <cell r="E19" t="str">
            <v>Birley Primary Academy</v>
          </cell>
          <cell r="G19">
            <v>528</v>
          </cell>
          <cell r="H19">
            <v>4.26439232409382E-3</v>
          </cell>
          <cell r="I19">
            <v>2.2515991471215369</v>
          </cell>
          <cell r="J19">
            <v>1305.9275053304914</v>
          </cell>
        </row>
        <row r="20">
          <cell r="D20">
            <v>2323</v>
          </cell>
          <cell r="E20" t="str">
            <v>Birley Spa Primary Academy</v>
          </cell>
          <cell r="G20">
            <v>337</v>
          </cell>
          <cell r="H20">
            <v>3.3333333333333298E-2</v>
          </cell>
          <cell r="I20">
            <v>11.233333333333322</v>
          </cell>
          <cell r="J20">
            <v>6515.3333333333267</v>
          </cell>
        </row>
        <row r="21">
          <cell r="D21">
            <v>2328</v>
          </cell>
          <cell r="E21" t="str">
            <v>Bradfield Dungworth Primary School</v>
          </cell>
          <cell r="G21">
            <v>137</v>
          </cell>
          <cell r="H21">
            <v>8.5470085470085496E-3</v>
          </cell>
          <cell r="I21">
            <v>1.1709401709401712</v>
          </cell>
          <cell r="J21">
            <v>679.1452991452993</v>
          </cell>
        </row>
        <row r="22">
          <cell r="D22">
            <v>2233</v>
          </cell>
          <cell r="E22" t="str">
            <v>Bradway Primary School</v>
          </cell>
          <cell r="G22">
            <v>414</v>
          </cell>
          <cell r="H22">
            <v>3.3898305084745797E-2</v>
          </cell>
          <cell r="I22">
            <v>14.03389830508476</v>
          </cell>
          <cell r="J22">
            <v>8139.6610169491605</v>
          </cell>
        </row>
        <row r="23">
          <cell r="D23">
            <v>2014</v>
          </cell>
          <cell r="E23" t="str">
            <v>Brightside Nursery and Infant School</v>
          </cell>
          <cell r="G23">
            <v>173</v>
          </cell>
          <cell r="H23">
            <v>0.44247787610619499</v>
          </cell>
          <cell r="I23">
            <v>76.548672566371735</v>
          </cell>
          <cell r="J23">
            <v>44398.230088495606</v>
          </cell>
        </row>
        <row r="24">
          <cell r="D24">
            <v>2246</v>
          </cell>
          <cell r="E24" t="str">
            <v>Brook House Junior</v>
          </cell>
          <cell r="G24">
            <v>340</v>
          </cell>
          <cell r="H24">
            <v>2.0588235294117602E-2</v>
          </cell>
          <cell r="I24">
            <v>6.9999999999999849</v>
          </cell>
          <cell r="J24">
            <v>4059.9999999999914</v>
          </cell>
        </row>
        <row r="25">
          <cell r="D25">
            <v>5204</v>
          </cell>
          <cell r="E25" t="str">
            <v>Broomhill Infant School</v>
          </cell>
          <cell r="G25">
            <v>119</v>
          </cell>
          <cell r="H25">
            <v>0.375</v>
          </cell>
          <cell r="I25">
            <v>44.625</v>
          </cell>
          <cell r="J25">
            <v>25882.5</v>
          </cell>
        </row>
        <row r="26">
          <cell r="D26">
            <v>2325</v>
          </cell>
          <cell r="E26" t="str">
            <v>Brunswick Community Primary School</v>
          </cell>
          <cell r="G26">
            <v>417</v>
          </cell>
          <cell r="H26">
            <v>2.8011204481792701E-2</v>
          </cell>
          <cell r="I26">
            <v>11.680672268907557</v>
          </cell>
          <cell r="J26">
            <v>6774.789915966383</v>
          </cell>
        </row>
        <row r="27">
          <cell r="D27">
            <v>2095</v>
          </cell>
          <cell r="E27" t="str">
            <v>Byron Wood Primary Academy</v>
          </cell>
          <cell r="G27">
            <v>395</v>
          </cell>
          <cell r="H27">
            <v>0.43567251461988299</v>
          </cell>
          <cell r="I27">
            <v>172.09064327485379</v>
          </cell>
          <cell r="J27">
            <v>99812.573099415196</v>
          </cell>
        </row>
        <row r="28">
          <cell r="D28">
            <v>2344</v>
          </cell>
          <cell r="E28" t="str">
            <v>Carfield Primary School</v>
          </cell>
          <cell r="G28">
            <v>570</v>
          </cell>
          <cell r="H28">
            <v>9.0146750524109004E-2</v>
          </cell>
          <cell r="I28">
            <v>51.383647798742132</v>
          </cell>
          <cell r="J28">
            <v>29802.515723270437</v>
          </cell>
        </row>
        <row r="29">
          <cell r="D29">
            <v>2023</v>
          </cell>
          <cell r="E29" t="str">
            <v>Carter Knowle Junior School</v>
          </cell>
          <cell r="G29">
            <v>236</v>
          </cell>
          <cell r="H29">
            <v>7.2033898305084706E-2</v>
          </cell>
          <cell r="I29">
            <v>16.999999999999989</v>
          </cell>
          <cell r="J29">
            <v>9859.9999999999945</v>
          </cell>
        </row>
        <row r="30">
          <cell r="D30">
            <v>2354</v>
          </cell>
          <cell r="E30" t="str">
            <v>Charnock Hall Primary Academy</v>
          </cell>
          <cell r="G30">
            <v>407</v>
          </cell>
          <cell r="H30">
            <v>3.4582132564841501E-2</v>
          </cell>
          <cell r="I30">
            <v>14.074927953890491</v>
          </cell>
          <cell r="J30">
            <v>8163.4582132564847</v>
          </cell>
        </row>
        <row r="31">
          <cell r="D31">
            <v>5200</v>
          </cell>
          <cell r="E31" t="str">
            <v>Clifford All Saints CofE Primary School</v>
          </cell>
          <cell r="G31">
            <v>184</v>
          </cell>
          <cell r="H31">
            <v>0.114457831325301</v>
          </cell>
          <cell r="I31">
            <v>21.060240963855385</v>
          </cell>
          <cell r="J31">
            <v>12214.939759036124</v>
          </cell>
        </row>
        <row r="32">
          <cell r="D32">
            <v>2312</v>
          </cell>
          <cell r="E32" t="str">
            <v>Coit Primary School</v>
          </cell>
          <cell r="G32">
            <v>205</v>
          </cell>
          <cell r="H32">
            <v>2.8571428571428598E-2</v>
          </cell>
          <cell r="I32">
            <v>5.857142857142863</v>
          </cell>
          <cell r="J32">
            <v>3397.1428571428605</v>
          </cell>
        </row>
        <row r="33">
          <cell r="D33">
            <v>2026</v>
          </cell>
          <cell r="E33" t="str">
            <v>Concord Junior School</v>
          </cell>
          <cell r="G33">
            <v>198</v>
          </cell>
          <cell r="H33">
            <v>0.14141414141414099</v>
          </cell>
          <cell r="I33">
            <v>27.999999999999915</v>
          </cell>
          <cell r="J33">
            <v>16239.999999999951</v>
          </cell>
        </row>
        <row r="34">
          <cell r="D34">
            <v>3422</v>
          </cell>
          <cell r="E34" t="str">
            <v>Deepcar St John's Church of England Junior School</v>
          </cell>
          <cell r="G34">
            <v>175</v>
          </cell>
          <cell r="H34">
            <v>1.7142857142857099E-2</v>
          </cell>
          <cell r="I34">
            <v>2.9999999999999925</v>
          </cell>
          <cell r="J34">
            <v>1739.9999999999957</v>
          </cell>
        </row>
        <row r="35">
          <cell r="D35">
            <v>2283</v>
          </cell>
          <cell r="E35" t="str">
            <v>Dobcroft Infant School</v>
          </cell>
          <cell r="G35">
            <v>269</v>
          </cell>
          <cell r="H35">
            <v>0.18435754189944101</v>
          </cell>
          <cell r="I35">
            <v>49.59217877094963</v>
          </cell>
          <cell r="J35">
            <v>28763.463687150786</v>
          </cell>
        </row>
        <row r="36">
          <cell r="D36">
            <v>2239</v>
          </cell>
          <cell r="E36" t="str">
            <v>Dobcroft Junior School</v>
          </cell>
          <cell r="G36">
            <v>382</v>
          </cell>
          <cell r="H36">
            <v>1.04712041884817E-2</v>
          </cell>
          <cell r="I36">
            <v>4.0000000000000098</v>
          </cell>
          <cell r="J36">
            <v>2320.0000000000055</v>
          </cell>
        </row>
        <row r="37">
          <cell r="D37">
            <v>2364</v>
          </cell>
          <cell r="E37" t="str">
            <v>Dore Primary School</v>
          </cell>
          <cell r="G37">
            <v>448</v>
          </cell>
          <cell r="H37">
            <v>3.5989717223650401E-2</v>
          </cell>
          <cell r="I37">
            <v>16.123393316195379</v>
          </cell>
          <cell r="J37">
            <v>9351.5681233933192</v>
          </cell>
        </row>
        <row r="38">
          <cell r="D38">
            <v>2016</v>
          </cell>
          <cell r="E38" t="str">
            <v>E-ACT Pathways Academy</v>
          </cell>
          <cell r="G38">
            <v>365</v>
          </cell>
          <cell r="H38">
            <v>0.14551083591331301</v>
          </cell>
          <cell r="I38">
            <v>53.111455108359252</v>
          </cell>
          <cell r="J38">
            <v>30804.643962848368</v>
          </cell>
        </row>
        <row r="39">
          <cell r="D39">
            <v>2206</v>
          </cell>
          <cell r="E39" t="str">
            <v>Ecclesall Primary School</v>
          </cell>
          <cell r="G39">
            <v>620</v>
          </cell>
          <cell r="H39">
            <v>7.2356215213358097E-2</v>
          </cell>
          <cell r="I39">
            <v>44.86085343228202</v>
          </cell>
          <cell r="J39">
            <v>26019.294990723571</v>
          </cell>
        </row>
        <row r="40">
          <cell r="D40">
            <v>2080</v>
          </cell>
          <cell r="E40" t="str">
            <v>Ecclesfield Primary School</v>
          </cell>
          <cell r="G40">
            <v>395</v>
          </cell>
          <cell r="H40">
            <v>2.6785714285714302E-2</v>
          </cell>
          <cell r="I40">
            <v>10.580357142857149</v>
          </cell>
          <cell r="J40">
            <v>6136.6071428571468</v>
          </cell>
        </row>
        <row r="41">
          <cell r="D41">
            <v>2024</v>
          </cell>
          <cell r="E41" t="str">
            <v>Emmanuel Anglican/Methodist Junior School</v>
          </cell>
          <cell r="G41">
            <v>173</v>
          </cell>
          <cell r="H41">
            <v>5.78034682080925E-3</v>
          </cell>
          <cell r="I41">
            <v>1.0000000000000002</v>
          </cell>
          <cell r="J41">
            <v>580.00000000000011</v>
          </cell>
        </row>
        <row r="42">
          <cell r="D42">
            <v>2028</v>
          </cell>
          <cell r="E42" t="str">
            <v>Emmaus Catholic and CofE Primary School</v>
          </cell>
          <cell r="G42">
            <v>293</v>
          </cell>
          <cell r="H42">
            <v>0.24324324324324301</v>
          </cell>
          <cell r="I42">
            <v>71.270270270270203</v>
          </cell>
          <cell r="J42">
            <v>41336.756756756717</v>
          </cell>
        </row>
        <row r="43">
          <cell r="D43">
            <v>2010</v>
          </cell>
          <cell r="E43" t="str">
            <v>Fox Hill Primary</v>
          </cell>
          <cell r="G43">
            <v>274</v>
          </cell>
          <cell r="H43">
            <v>3.7974683544303799E-2</v>
          </cell>
          <cell r="I43">
            <v>10.405063291139241</v>
          </cell>
          <cell r="J43">
            <v>6034.9367088607596</v>
          </cell>
        </row>
        <row r="44">
          <cell r="D44">
            <v>2036</v>
          </cell>
          <cell r="E44" t="str">
            <v>Gleadless Primary School</v>
          </cell>
          <cell r="G44">
            <v>398</v>
          </cell>
          <cell r="H44">
            <v>5.8823529411764698E-2</v>
          </cell>
          <cell r="I44">
            <v>23.411764705882351</v>
          </cell>
          <cell r="J44">
            <v>13578.823529411764</v>
          </cell>
        </row>
        <row r="45">
          <cell r="D45">
            <v>2305</v>
          </cell>
          <cell r="E45" t="str">
            <v>Greengate Lane Academy</v>
          </cell>
          <cell r="G45">
            <v>190</v>
          </cell>
          <cell r="H45">
            <v>4.1916167664670698E-2</v>
          </cell>
          <cell r="I45">
            <v>7.9640718562874326</v>
          </cell>
          <cell r="J45">
            <v>4619.1616766467105</v>
          </cell>
        </row>
        <row r="46">
          <cell r="D46">
            <v>2341</v>
          </cell>
          <cell r="E46" t="str">
            <v>Greenhill Primary School</v>
          </cell>
          <cell r="G46">
            <v>468</v>
          </cell>
          <cell r="H46">
            <v>7.0886075949367106E-2</v>
          </cell>
          <cell r="I46">
            <v>33.174683544303804</v>
          </cell>
          <cell r="J46">
            <v>19241.316455696207</v>
          </cell>
        </row>
        <row r="47">
          <cell r="D47">
            <v>2296</v>
          </cell>
          <cell r="E47" t="str">
            <v>Grenoside Community Primary School</v>
          </cell>
          <cell r="G47">
            <v>322</v>
          </cell>
          <cell r="H47">
            <v>1.45454545454545E-2</v>
          </cell>
          <cell r="I47">
            <v>4.6836363636363494</v>
          </cell>
          <cell r="J47">
            <v>2716.5090909090827</v>
          </cell>
        </row>
        <row r="48">
          <cell r="D48">
            <v>2356</v>
          </cell>
          <cell r="E48" t="str">
            <v>Greystones Primary School</v>
          </cell>
          <cell r="G48">
            <v>613</v>
          </cell>
          <cell r="H48">
            <v>7.1698113207547196E-2</v>
          </cell>
          <cell r="I48">
            <v>43.950943396226428</v>
          </cell>
          <cell r="J48">
            <v>25491.547169811329</v>
          </cell>
        </row>
        <row r="49">
          <cell r="D49">
            <v>2279</v>
          </cell>
          <cell r="E49" t="str">
            <v>Halfway Junior School</v>
          </cell>
          <cell r="G49">
            <v>206</v>
          </cell>
          <cell r="H49">
            <v>1.45631067961165E-2</v>
          </cell>
          <cell r="I49">
            <v>2.9999999999999991</v>
          </cell>
          <cell r="J49">
            <v>1739.9999999999995</v>
          </cell>
        </row>
        <row r="50">
          <cell r="D50">
            <v>2252</v>
          </cell>
          <cell r="E50" t="str">
            <v>Halfway Nursery Infant School</v>
          </cell>
          <cell r="G50">
            <v>157</v>
          </cell>
          <cell r="H50">
            <v>4.71698113207547E-2</v>
          </cell>
          <cell r="I50">
            <v>7.4056603773584877</v>
          </cell>
          <cell r="J50">
            <v>4295.2830188679227</v>
          </cell>
        </row>
        <row r="51">
          <cell r="D51">
            <v>2357</v>
          </cell>
          <cell r="E51" t="str">
            <v>Hallam Primary School</v>
          </cell>
          <cell r="G51">
            <v>633</v>
          </cell>
          <cell r="H51">
            <v>7.1691176470588203E-2</v>
          </cell>
          <cell r="I51">
            <v>45.380514705882334</v>
          </cell>
          <cell r="J51">
            <v>26320.698529411755</v>
          </cell>
        </row>
        <row r="52">
          <cell r="D52">
            <v>2050</v>
          </cell>
          <cell r="E52" t="str">
            <v>Hartley Brook Primary School</v>
          </cell>
          <cell r="G52">
            <v>570</v>
          </cell>
          <cell r="H52">
            <v>8.74751491053678E-2</v>
          </cell>
          <cell r="I52">
            <v>49.860834990059644</v>
          </cell>
          <cell r="J52">
            <v>28919.284294234592</v>
          </cell>
        </row>
        <row r="53">
          <cell r="D53">
            <v>2049</v>
          </cell>
          <cell r="E53" t="str">
            <v>Hatfield Academy</v>
          </cell>
          <cell r="G53">
            <v>374</v>
          </cell>
          <cell r="H53">
            <v>0.264984227129338</v>
          </cell>
          <cell r="I53">
            <v>99.104100946372412</v>
          </cell>
          <cell r="J53">
            <v>57480.378548895998</v>
          </cell>
        </row>
        <row r="54">
          <cell r="D54">
            <v>2297</v>
          </cell>
          <cell r="E54" t="str">
            <v>High Green Primary School</v>
          </cell>
          <cell r="G54">
            <v>194</v>
          </cell>
          <cell r="H54">
            <v>0</v>
          </cell>
          <cell r="I54">
            <v>0</v>
          </cell>
          <cell r="J54">
            <v>0</v>
          </cell>
        </row>
        <row r="55">
          <cell r="D55">
            <v>2042</v>
          </cell>
          <cell r="E55" t="str">
            <v>High Hazels Junior School</v>
          </cell>
          <cell r="G55">
            <v>356</v>
          </cell>
          <cell r="H55">
            <v>0.25842696629213502</v>
          </cell>
          <cell r="I55">
            <v>92.000000000000071</v>
          </cell>
          <cell r="J55">
            <v>53360.000000000044</v>
          </cell>
        </row>
        <row r="56">
          <cell r="D56">
            <v>2039</v>
          </cell>
          <cell r="E56" t="str">
            <v>High Hazels Nursery Infant Academy</v>
          </cell>
          <cell r="G56">
            <v>248</v>
          </cell>
          <cell r="H56">
            <v>0.81097560975609795</v>
          </cell>
          <cell r="I56">
            <v>201.12195121951228</v>
          </cell>
          <cell r="J56">
            <v>116650.73170731713</v>
          </cell>
        </row>
        <row r="57">
          <cell r="D57">
            <v>2339</v>
          </cell>
          <cell r="E57" t="str">
            <v>Hillsborough Primary School</v>
          </cell>
          <cell r="G57">
            <v>340</v>
          </cell>
          <cell r="H57">
            <v>0.146179401993355</v>
          </cell>
          <cell r="I57">
            <v>49.700996677740697</v>
          </cell>
          <cell r="J57">
            <v>28826.578073089604</v>
          </cell>
        </row>
        <row r="58">
          <cell r="D58">
            <v>2213</v>
          </cell>
          <cell r="E58" t="str">
            <v>Holt House Infant School</v>
          </cell>
          <cell r="G58">
            <v>179</v>
          </cell>
          <cell r="H58">
            <v>7.4999999999999997E-2</v>
          </cell>
          <cell r="I58">
            <v>13.424999999999999</v>
          </cell>
          <cell r="J58">
            <v>7786.4999999999991</v>
          </cell>
        </row>
        <row r="59">
          <cell r="D59">
            <v>2337</v>
          </cell>
          <cell r="E59" t="str">
            <v>Hucklow Primary School</v>
          </cell>
          <cell r="G59">
            <v>407</v>
          </cell>
          <cell r="H59">
            <v>0.39942528735632199</v>
          </cell>
          <cell r="I59">
            <v>162.56609195402305</v>
          </cell>
          <cell r="J59">
            <v>94288.333333333372</v>
          </cell>
        </row>
        <row r="60">
          <cell r="D60">
            <v>2060</v>
          </cell>
          <cell r="E60" t="str">
            <v>Hunter's Bar Infant School</v>
          </cell>
          <cell r="G60">
            <v>269</v>
          </cell>
          <cell r="H60">
            <v>0.227777777777778</v>
          </cell>
          <cell r="I60">
            <v>61.272222222222283</v>
          </cell>
          <cell r="J60">
            <v>35537.888888888927</v>
          </cell>
        </row>
        <row r="61">
          <cell r="D61">
            <v>2058</v>
          </cell>
          <cell r="E61" t="str">
            <v>Hunter's Bar Junior School</v>
          </cell>
          <cell r="G61">
            <v>362</v>
          </cell>
          <cell r="H61">
            <v>9.6685082872928194E-2</v>
          </cell>
          <cell r="I61">
            <v>35.000000000000007</v>
          </cell>
          <cell r="J61">
            <v>20300.000000000004</v>
          </cell>
        </row>
        <row r="62">
          <cell r="D62">
            <v>2063</v>
          </cell>
          <cell r="E62" t="str">
            <v>Intake Primary School</v>
          </cell>
          <cell r="G62">
            <v>413</v>
          </cell>
          <cell r="H62">
            <v>1.69971671388102E-2</v>
          </cell>
          <cell r="I62">
            <v>7.019830028328613</v>
          </cell>
          <cell r="J62">
            <v>4071.5014164305958</v>
          </cell>
        </row>
        <row r="63">
          <cell r="D63">
            <v>2261</v>
          </cell>
          <cell r="E63" t="str">
            <v>Limpsfield Junior School</v>
          </cell>
          <cell r="G63">
            <v>225</v>
          </cell>
          <cell r="H63">
            <v>0.142222222222222</v>
          </cell>
          <cell r="I63">
            <v>31.99999999999995</v>
          </cell>
          <cell r="J63">
            <v>18559.999999999971</v>
          </cell>
        </row>
        <row r="64">
          <cell r="D64">
            <v>2315</v>
          </cell>
          <cell r="E64" t="str">
            <v>Lound Infant School</v>
          </cell>
          <cell r="G64">
            <v>148</v>
          </cell>
          <cell r="H64">
            <v>8.0808080808080801E-2</v>
          </cell>
          <cell r="I64">
            <v>11.959595959595958</v>
          </cell>
          <cell r="J64">
            <v>6936.5656565656554</v>
          </cell>
        </row>
        <row r="65">
          <cell r="D65">
            <v>2298</v>
          </cell>
          <cell r="E65" t="str">
            <v>Lound Junior School</v>
          </cell>
          <cell r="G65">
            <v>211</v>
          </cell>
          <cell r="H65">
            <v>2.3696682464454999E-2</v>
          </cell>
          <cell r="I65">
            <v>5.0000000000000044</v>
          </cell>
          <cell r="J65">
            <v>2900.0000000000027</v>
          </cell>
        </row>
        <row r="66">
          <cell r="D66">
            <v>2029</v>
          </cell>
          <cell r="E66" t="str">
            <v>Lowedges Junior Academy</v>
          </cell>
          <cell r="G66">
            <v>299</v>
          </cell>
          <cell r="H66">
            <v>0.13207547169811301</v>
          </cell>
          <cell r="I66">
            <v>39.490566037735789</v>
          </cell>
          <cell r="J66">
            <v>22904.528301886756</v>
          </cell>
        </row>
        <row r="67">
          <cell r="D67">
            <v>2045</v>
          </cell>
          <cell r="E67" t="str">
            <v>Lower Meadow Primary School</v>
          </cell>
          <cell r="G67">
            <v>259</v>
          </cell>
          <cell r="H67">
            <v>0.11111111111111099</v>
          </cell>
          <cell r="I67">
            <v>28.777777777777747</v>
          </cell>
          <cell r="J67">
            <v>16691.111111111091</v>
          </cell>
        </row>
        <row r="68">
          <cell r="D68">
            <v>2070</v>
          </cell>
          <cell r="E68" t="str">
            <v>Lowfield Community Primary School</v>
          </cell>
          <cell r="G68">
            <v>379</v>
          </cell>
          <cell r="H68">
            <v>0.50613496932515301</v>
          </cell>
          <cell r="I68">
            <v>191.825153374233</v>
          </cell>
          <cell r="J68">
            <v>111258.58895705514</v>
          </cell>
        </row>
        <row r="69">
          <cell r="D69">
            <v>2292</v>
          </cell>
          <cell r="E69" t="str">
            <v>Loxley Primary School</v>
          </cell>
          <cell r="G69">
            <v>210</v>
          </cell>
          <cell r="H69">
            <v>1.1111111111111099E-2</v>
          </cell>
          <cell r="I69">
            <v>2.3333333333333308</v>
          </cell>
          <cell r="J69">
            <v>1353.3333333333319</v>
          </cell>
        </row>
        <row r="70">
          <cell r="D70">
            <v>2072</v>
          </cell>
          <cell r="E70" t="str">
            <v>Lydgate Infant School</v>
          </cell>
          <cell r="G70">
            <v>344</v>
          </cell>
          <cell r="H70">
            <v>0.25423728813559299</v>
          </cell>
          <cell r="I70">
            <v>87.457627118643984</v>
          </cell>
          <cell r="J70">
            <v>50725.423728813512</v>
          </cell>
        </row>
        <row r="71">
          <cell r="D71">
            <v>2071</v>
          </cell>
          <cell r="E71" t="str">
            <v>Lydgate Junior School</v>
          </cell>
          <cell r="G71">
            <v>479</v>
          </cell>
          <cell r="H71">
            <v>7.7405857740585796E-2</v>
          </cell>
          <cell r="I71">
            <v>37.077405857740594</v>
          </cell>
          <cell r="J71">
            <v>21504.895397489545</v>
          </cell>
        </row>
        <row r="72">
          <cell r="D72">
            <v>2358</v>
          </cell>
          <cell r="E72" t="str">
            <v>Malin Bridge Primary School</v>
          </cell>
          <cell r="G72">
            <v>517</v>
          </cell>
          <cell r="H72">
            <v>4.0449438202247202E-2</v>
          </cell>
          <cell r="I72">
            <v>20.912359550561803</v>
          </cell>
          <cell r="J72">
            <v>12129.168539325845</v>
          </cell>
        </row>
        <row r="73">
          <cell r="D73">
            <v>2359</v>
          </cell>
          <cell r="E73" t="str">
            <v>Manor Lodge Community Primary and Nursery School</v>
          </cell>
          <cell r="G73">
            <v>333</v>
          </cell>
          <cell r="H73">
            <v>0.19718309859154901</v>
          </cell>
          <cell r="I73">
            <v>65.66197183098582</v>
          </cell>
          <cell r="J73">
            <v>38083.943661971774</v>
          </cell>
        </row>
        <row r="74">
          <cell r="D74">
            <v>2012</v>
          </cell>
          <cell r="E74" t="str">
            <v>Mansel Primary</v>
          </cell>
          <cell r="G74">
            <v>399</v>
          </cell>
          <cell r="H74">
            <v>5.5555555555555601E-2</v>
          </cell>
          <cell r="I74">
            <v>22.166666666666686</v>
          </cell>
          <cell r="J74">
            <v>12856.666666666677</v>
          </cell>
        </row>
        <row r="75">
          <cell r="D75">
            <v>2079</v>
          </cell>
          <cell r="E75" t="str">
            <v>Marlcliffe Community Primary School</v>
          </cell>
          <cell r="G75">
            <v>501</v>
          </cell>
          <cell r="H75">
            <v>2.2522522522522501E-2</v>
          </cell>
          <cell r="I75">
            <v>11.283783783783774</v>
          </cell>
          <cell r="J75">
            <v>6544.5945945945887</v>
          </cell>
        </row>
        <row r="76">
          <cell r="D76">
            <v>2081</v>
          </cell>
          <cell r="E76" t="str">
            <v>Meersbrook Bank Primary School</v>
          </cell>
          <cell r="G76">
            <v>207</v>
          </cell>
          <cell r="H76">
            <v>4.5197740112994399E-2</v>
          </cell>
          <cell r="I76">
            <v>9.3559322033898411</v>
          </cell>
          <cell r="J76">
            <v>5426.4406779661076</v>
          </cell>
        </row>
        <row r="77">
          <cell r="D77">
            <v>2013</v>
          </cell>
          <cell r="E77" t="str">
            <v>Meynell Community Primary School</v>
          </cell>
          <cell r="G77">
            <v>368</v>
          </cell>
          <cell r="H77">
            <v>0.107142857142857</v>
          </cell>
          <cell r="I77">
            <v>39.428571428571374</v>
          </cell>
          <cell r="J77">
            <v>22868.571428571398</v>
          </cell>
        </row>
        <row r="78">
          <cell r="D78">
            <v>2346</v>
          </cell>
          <cell r="E78" t="str">
            <v>Monteney Primary School</v>
          </cell>
          <cell r="G78">
            <v>404</v>
          </cell>
          <cell r="H78">
            <v>1.74418604651163E-2</v>
          </cell>
          <cell r="I78">
            <v>7.0465116279069848</v>
          </cell>
          <cell r="J78">
            <v>4086.9767441860513</v>
          </cell>
        </row>
        <row r="79">
          <cell r="D79">
            <v>2257</v>
          </cell>
          <cell r="E79" t="str">
            <v>Mosborough Primary School</v>
          </cell>
          <cell r="G79">
            <v>418</v>
          </cell>
          <cell r="H79">
            <v>2.5069637883008401E-2</v>
          </cell>
          <cell r="I79">
            <v>10.479108635097512</v>
          </cell>
          <cell r="J79">
            <v>6077.8830083565572</v>
          </cell>
        </row>
        <row r="80">
          <cell r="D80">
            <v>2092</v>
          </cell>
          <cell r="E80" t="str">
            <v>Mundella Primary School</v>
          </cell>
          <cell r="G80">
            <v>416</v>
          </cell>
          <cell r="H80">
            <v>5.6497175141242903E-3</v>
          </cell>
          <cell r="I80">
            <v>2.350282485875705</v>
          </cell>
          <cell r="J80">
            <v>1363.163841807909</v>
          </cell>
        </row>
        <row r="81">
          <cell r="D81">
            <v>2002</v>
          </cell>
          <cell r="E81" t="str">
            <v>Nether Edge Primary School</v>
          </cell>
          <cell r="G81">
            <v>419</v>
          </cell>
          <cell r="H81">
            <v>0.18181818181818199</v>
          </cell>
          <cell r="I81">
            <v>76.181818181818258</v>
          </cell>
          <cell r="J81">
            <v>44185.454545454588</v>
          </cell>
        </row>
        <row r="82">
          <cell r="D82">
            <v>2221</v>
          </cell>
          <cell r="E82" t="str">
            <v>Nether Green Infant School</v>
          </cell>
          <cell r="G82">
            <v>223</v>
          </cell>
          <cell r="H82">
            <v>0.222972972972973</v>
          </cell>
          <cell r="I82">
            <v>49.722972972972975</v>
          </cell>
          <cell r="J82">
            <v>28839.324324324327</v>
          </cell>
        </row>
        <row r="83">
          <cell r="D83">
            <v>2087</v>
          </cell>
          <cell r="E83" t="str">
            <v>Nether Green Junior School</v>
          </cell>
          <cell r="G83">
            <v>377</v>
          </cell>
          <cell r="H83">
            <v>6.8965517241379296E-2</v>
          </cell>
          <cell r="I83">
            <v>25.999999999999993</v>
          </cell>
          <cell r="J83">
            <v>15079.999999999996</v>
          </cell>
        </row>
        <row r="84">
          <cell r="D84">
            <v>2272</v>
          </cell>
          <cell r="E84" t="str">
            <v>Netherthorpe Primary School</v>
          </cell>
          <cell r="G84">
            <v>217</v>
          </cell>
          <cell r="H84">
            <v>0.56451612903225801</v>
          </cell>
          <cell r="I84">
            <v>122.49999999999999</v>
          </cell>
          <cell r="J84">
            <v>71049.999999999985</v>
          </cell>
        </row>
        <row r="85">
          <cell r="D85">
            <v>2309</v>
          </cell>
          <cell r="E85" t="str">
            <v>Nook Lane Junior School</v>
          </cell>
          <cell r="G85">
            <v>243</v>
          </cell>
          <cell r="H85">
            <v>0</v>
          </cell>
          <cell r="I85">
            <v>0</v>
          </cell>
          <cell r="J85">
            <v>0</v>
          </cell>
        </row>
        <row r="86">
          <cell r="D86">
            <v>2051</v>
          </cell>
          <cell r="E86" t="str">
            <v>Norfolk Community Primary School</v>
          </cell>
          <cell r="G86">
            <v>384</v>
          </cell>
          <cell r="H86">
            <v>0.18181818181818199</v>
          </cell>
          <cell r="I86">
            <v>69.818181818181884</v>
          </cell>
          <cell r="J86">
            <v>40494.545454545492</v>
          </cell>
        </row>
        <row r="87">
          <cell r="D87">
            <v>3010</v>
          </cell>
          <cell r="E87" t="str">
            <v>Norton Free Church of England Primary School</v>
          </cell>
          <cell r="G87">
            <v>213</v>
          </cell>
          <cell r="H87">
            <v>5.4945054945054897E-3</v>
          </cell>
          <cell r="I87">
            <v>1.1703296703296693</v>
          </cell>
          <cell r="J87">
            <v>678.79120879120819</v>
          </cell>
        </row>
        <row r="88">
          <cell r="D88">
            <v>2018</v>
          </cell>
          <cell r="E88" t="str">
            <v>Oasis Academy Fir Vale</v>
          </cell>
          <cell r="G88">
            <v>407</v>
          </cell>
          <cell r="H88">
            <v>0.61281337047353801</v>
          </cell>
          <cell r="I88">
            <v>249.41504178272996</v>
          </cell>
          <cell r="J88">
            <v>144660.72423398338</v>
          </cell>
        </row>
        <row r="89">
          <cell r="D89">
            <v>2019</v>
          </cell>
          <cell r="E89" t="str">
            <v>Oasis Academy Watermead</v>
          </cell>
          <cell r="G89">
            <v>380</v>
          </cell>
          <cell r="H89">
            <v>0.14506172839506201</v>
          </cell>
          <cell r="I89">
            <v>55.123456790123562</v>
          </cell>
          <cell r="J89">
            <v>31971.604938271666</v>
          </cell>
        </row>
        <row r="90">
          <cell r="D90">
            <v>2313</v>
          </cell>
          <cell r="E90" t="str">
            <v>Oughtibridge Primary School</v>
          </cell>
          <cell r="G90">
            <v>417</v>
          </cell>
          <cell r="H90">
            <v>5.60224089635854E-3</v>
          </cell>
          <cell r="I90">
            <v>2.336134453781511</v>
          </cell>
          <cell r="J90">
            <v>1354.9579831932763</v>
          </cell>
        </row>
        <row r="91">
          <cell r="D91">
            <v>2093</v>
          </cell>
          <cell r="E91" t="str">
            <v>Owler Brook Primary School</v>
          </cell>
          <cell r="G91">
            <v>400</v>
          </cell>
          <cell r="H91">
            <v>0.48695652173913001</v>
          </cell>
          <cell r="I91">
            <v>194.78260869565202</v>
          </cell>
          <cell r="J91">
            <v>112973.91304347817</v>
          </cell>
        </row>
        <row r="92">
          <cell r="D92">
            <v>3428</v>
          </cell>
          <cell r="E92" t="str">
            <v>Parson Cross Church of England Primary School</v>
          </cell>
          <cell r="G92">
            <v>203</v>
          </cell>
          <cell r="H92">
            <v>1.15606936416185E-2</v>
          </cell>
          <cell r="I92">
            <v>2.3468208092485554</v>
          </cell>
          <cell r="J92">
            <v>1361.1560693641622</v>
          </cell>
        </row>
        <row r="93">
          <cell r="D93">
            <v>2332</v>
          </cell>
          <cell r="E93" t="str">
            <v>Phillimore Community Primary School</v>
          </cell>
          <cell r="G93">
            <v>388</v>
          </cell>
          <cell r="H93">
            <v>0.44927536231884102</v>
          </cell>
          <cell r="I93">
            <v>174.31884057971033</v>
          </cell>
          <cell r="J93">
            <v>101104.92753623199</v>
          </cell>
        </row>
        <row r="94">
          <cell r="D94">
            <v>3433</v>
          </cell>
          <cell r="E94" t="str">
            <v>Pipworth Community Primary School</v>
          </cell>
          <cell r="G94">
            <v>394</v>
          </cell>
          <cell r="H94">
            <v>0.168091168091168</v>
          </cell>
          <cell r="I94">
            <v>66.227920227920194</v>
          </cell>
          <cell r="J94">
            <v>38412.193732193715</v>
          </cell>
        </row>
        <row r="95">
          <cell r="D95">
            <v>3427</v>
          </cell>
          <cell r="E95" t="str">
            <v>Porter Croft Church of England Primary Academy</v>
          </cell>
          <cell r="G95">
            <v>214</v>
          </cell>
          <cell r="H95">
            <v>0.36263736263736301</v>
          </cell>
          <cell r="I95">
            <v>77.604395604395691</v>
          </cell>
          <cell r="J95">
            <v>45010.549450549501</v>
          </cell>
        </row>
        <row r="96">
          <cell r="D96">
            <v>2347</v>
          </cell>
          <cell r="E96" t="str">
            <v>Prince Edward Primary School</v>
          </cell>
          <cell r="G96">
            <v>407</v>
          </cell>
          <cell r="H96">
            <v>0.16045845272206299</v>
          </cell>
          <cell r="I96">
            <v>65.306590257879634</v>
          </cell>
          <cell r="J96">
            <v>37877.82234957019</v>
          </cell>
        </row>
        <row r="97">
          <cell r="D97">
            <v>2366</v>
          </cell>
          <cell r="E97" t="str">
            <v>Pye Bank CofE Primary School</v>
          </cell>
          <cell r="G97">
            <v>423</v>
          </cell>
          <cell r="H97">
            <v>0.36065573770491799</v>
          </cell>
          <cell r="I97">
            <v>152.5573770491803</v>
          </cell>
          <cell r="J97">
            <v>88483.278688524573</v>
          </cell>
        </row>
        <row r="98">
          <cell r="D98">
            <v>2363</v>
          </cell>
          <cell r="E98" t="str">
            <v>Rainbow Forge Primary Academy</v>
          </cell>
          <cell r="G98">
            <v>297</v>
          </cell>
          <cell r="H98">
            <v>1.58730158730159E-2</v>
          </cell>
          <cell r="I98">
            <v>4.7142857142857224</v>
          </cell>
          <cell r="J98">
            <v>2734.2857142857192</v>
          </cell>
        </row>
        <row r="99">
          <cell r="D99">
            <v>2334</v>
          </cell>
          <cell r="E99" t="str">
            <v>Reignhead Primary School</v>
          </cell>
          <cell r="G99">
            <v>244</v>
          </cell>
          <cell r="H99">
            <v>9.0090090090090107E-3</v>
          </cell>
          <cell r="I99">
            <v>2.1981981981981984</v>
          </cell>
          <cell r="J99">
            <v>1274.9549549549552</v>
          </cell>
        </row>
        <row r="100">
          <cell r="D100">
            <v>2338</v>
          </cell>
          <cell r="E100" t="str">
            <v>Rivelin Primary School</v>
          </cell>
          <cell r="G100">
            <v>351</v>
          </cell>
          <cell r="H100">
            <v>0.153354632587859</v>
          </cell>
          <cell r="I100">
            <v>53.82747603833851</v>
          </cell>
          <cell r="J100">
            <v>31219.936102236337</v>
          </cell>
        </row>
        <row r="101">
          <cell r="D101">
            <v>2306</v>
          </cell>
          <cell r="E101" t="str">
            <v>Royd Nursery and Infant School</v>
          </cell>
          <cell r="G101">
            <v>122</v>
          </cell>
          <cell r="H101">
            <v>4.49438202247191E-2</v>
          </cell>
          <cell r="I101">
            <v>5.4831460674157304</v>
          </cell>
          <cell r="J101">
            <v>3180.2247191011238</v>
          </cell>
        </row>
        <row r="102">
          <cell r="D102">
            <v>3401</v>
          </cell>
          <cell r="E102" t="str">
            <v>Sacred Heart School, A Catholic Voluntary Academy</v>
          </cell>
          <cell r="G102">
            <v>200</v>
          </cell>
          <cell r="H102">
            <v>0.12921348314606701</v>
          </cell>
          <cell r="I102">
            <v>25.842696629213403</v>
          </cell>
          <cell r="J102">
            <v>14988.764044943773</v>
          </cell>
        </row>
        <row r="103">
          <cell r="D103">
            <v>2369</v>
          </cell>
          <cell r="E103" t="str">
            <v>Sharrow Nursery, Infant and Junior School</v>
          </cell>
          <cell r="G103">
            <v>417</v>
          </cell>
          <cell r="H103">
            <v>0.40616246498599401</v>
          </cell>
          <cell r="I103">
            <v>169.36974789915951</v>
          </cell>
          <cell r="J103">
            <v>98234.453781512508</v>
          </cell>
        </row>
        <row r="104">
          <cell r="D104">
            <v>2349</v>
          </cell>
          <cell r="E104" t="str">
            <v>Shooter's Grove Primary School</v>
          </cell>
          <cell r="G104">
            <v>359</v>
          </cell>
          <cell r="H104">
            <v>6.12903225806452E-2</v>
          </cell>
          <cell r="I104">
            <v>22.003225806451628</v>
          </cell>
          <cell r="J104">
            <v>12761.870967741945</v>
          </cell>
        </row>
        <row r="105">
          <cell r="D105">
            <v>2360</v>
          </cell>
          <cell r="E105" t="str">
            <v>Shortbrook Primary School</v>
          </cell>
          <cell r="G105">
            <v>84</v>
          </cell>
          <cell r="H105">
            <v>0</v>
          </cell>
          <cell r="I105">
            <v>0</v>
          </cell>
          <cell r="J105">
            <v>0</v>
          </cell>
        </row>
        <row r="106">
          <cell r="D106">
            <v>2009</v>
          </cell>
          <cell r="E106" t="str">
            <v>Southey Green Primary School and Nurseries</v>
          </cell>
          <cell r="G106">
            <v>611</v>
          </cell>
          <cell r="H106">
            <v>7.2796934865900401E-2</v>
          </cell>
          <cell r="I106">
            <v>44.478927203065147</v>
          </cell>
          <cell r="J106">
            <v>25797.777777777785</v>
          </cell>
        </row>
        <row r="107">
          <cell r="D107">
            <v>2329</v>
          </cell>
          <cell r="E107" t="str">
            <v>Springfield Primary School</v>
          </cell>
          <cell r="G107">
            <v>208</v>
          </cell>
          <cell r="H107">
            <v>0.62921348314606695</v>
          </cell>
          <cell r="I107">
            <v>130.87640449438192</v>
          </cell>
          <cell r="J107">
            <v>75908.314606741507</v>
          </cell>
        </row>
        <row r="108">
          <cell r="D108">
            <v>5202</v>
          </cell>
          <cell r="E108" t="str">
            <v>St Ann's Catholic Primary School, A Voluntary Academy</v>
          </cell>
          <cell r="G108">
            <v>99</v>
          </cell>
          <cell r="H108">
            <v>6.25E-2</v>
          </cell>
          <cell r="I108">
            <v>6.1875</v>
          </cell>
          <cell r="J108">
            <v>3588.75</v>
          </cell>
        </row>
        <row r="109">
          <cell r="D109">
            <v>3402</v>
          </cell>
          <cell r="E109" t="str">
            <v>St Catherine's Catholic Primary School (Hallam)</v>
          </cell>
          <cell r="G109">
            <v>421</v>
          </cell>
          <cell r="H109">
            <v>0.33333333333333298</v>
          </cell>
          <cell r="I109">
            <v>140.33333333333317</v>
          </cell>
          <cell r="J109">
            <v>81393.333333333241</v>
          </cell>
        </row>
        <row r="110">
          <cell r="D110">
            <v>2017</v>
          </cell>
          <cell r="E110" t="str">
            <v>St John Fisher Primary, A Catholic Voluntary Academy</v>
          </cell>
          <cell r="G110">
            <v>208</v>
          </cell>
          <cell r="H110">
            <v>8.4269662921348298E-2</v>
          </cell>
          <cell r="I110">
            <v>17.528089887640448</v>
          </cell>
          <cell r="J110">
            <v>10166.292134831459</v>
          </cell>
        </row>
        <row r="111">
          <cell r="D111">
            <v>5203</v>
          </cell>
          <cell r="E111" t="str">
            <v>St Joseph's Primary School</v>
          </cell>
          <cell r="G111">
            <v>207</v>
          </cell>
          <cell r="H111">
            <v>0.152542372881356</v>
          </cell>
          <cell r="I111">
            <v>31.576271186440692</v>
          </cell>
          <cell r="J111">
            <v>18314.237288135602</v>
          </cell>
        </row>
        <row r="112">
          <cell r="D112">
            <v>3406</v>
          </cell>
          <cell r="E112" t="str">
            <v>St Marie's School, A Catholic Voluntary Academy</v>
          </cell>
          <cell r="G112">
            <v>216</v>
          </cell>
          <cell r="H112">
            <v>0.12565445026177999</v>
          </cell>
          <cell r="I112">
            <v>27.141361256544478</v>
          </cell>
          <cell r="J112">
            <v>15741.989528795797</v>
          </cell>
        </row>
        <row r="113">
          <cell r="D113">
            <v>2020</v>
          </cell>
          <cell r="E113" t="str">
            <v>St Mary's Church of England Primary School</v>
          </cell>
          <cell r="G113">
            <v>204</v>
          </cell>
          <cell r="H113">
            <v>0.28571428571428598</v>
          </cell>
          <cell r="I113">
            <v>58.285714285714342</v>
          </cell>
          <cell r="J113">
            <v>33805.714285714319</v>
          </cell>
        </row>
        <row r="114">
          <cell r="D114">
            <v>3423</v>
          </cell>
          <cell r="E114" t="str">
            <v>St Mary's Primary School, A Catholic Voluntary Academy</v>
          </cell>
          <cell r="G114">
            <v>176</v>
          </cell>
          <cell r="H114">
            <v>1.26582278481013E-2</v>
          </cell>
          <cell r="I114">
            <v>2.2278481012658289</v>
          </cell>
          <cell r="J114">
            <v>1292.1518987341808</v>
          </cell>
        </row>
        <row r="115">
          <cell r="D115">
            <v>5207</v>
          </cell>
          <cell r="E115" t="str">
            <v>St Patrick's Catholic Voluntary Academy</v>
          </cell>
          <cell r="G115">
            <v>279</v>
          </cell>
          <cell r="H115">
            <v>0.209205020920502</v>
          </cell>
          <cell r="I115">
            <v>58.368200836820058</v>
          </cell>
          <cell r="J115">
            <v>33853.556485355635</v>
          </cell>
        </row>
        <row r="116">
          <cell r="D116">
            <v>5208</v>
          </cell>
          <cell r="E116" t="str">
            <v>St Theresa's Catholic Primary School</v>
          </cell>
          <cell r="G116">
            <v>207</v>
          </cell>
          <cell r="H116">
            <v>0.225988700564972</v>
          </cell>
          <cell r="I116">
            <v>46.779661016949206</v>
          </cell>
          <cell r="J116">
            <v>27132.203389830538</v>
          </cell>
        </row>
        <row r="117">
          <cell r="D117">
            <v>3424</v>
          </cell>
          <cell r="E117" t="str">
            <v>St Thomas More Catholic Primary, A Voluntary Academy</v>
          </cell>
          <cell r="G117">
            <v>208</v>
          </cell>
          <cell r="H117">
            <v>8.4269662921348298E-2</v>
          </cell>
          <cell r="I117">
            <v>17.528089887640448</v>
          </cell>
          <cell r="J117">
            <v>10166.292134831459</v>
          </cell>
        </row>
        <row r="118">
          <cell r="D118">
            <v>3414</v>
          </cell>
          <cell r="E118" t="str">
            <v>St Thomas of Canterbury School, a Catholic Voluntary Academy</v>
          </cell>
          <cell r="G118">
            <v>210</v>
          </cell>
          <cell r="H118">
            <v>8.4269662921348298E-2</v>
          </cell>
          <cell r="I118">
            <v>17.696629213483142</v>
          </cell>
          <cell r="J118">
            <v>10264.044943820223</v>
          </cell>
        </row>
        <row r="119">
          <cell r="D119">
            <v>3412</v>
          </cell>
          <cell r="E119" t="str">
            <v>St Wilfrid's Catholic Primary School</v>
          </cell>
          <cell r="G119">
            <v>297</v>
          </cell>
          <cell r="H119">
            <v>4.9242424242424199E-2</v>
          </cell>
          <cell r="I119">
            <v>14.624999999999988</v>
          </cell>
          <cell r="J119">
            <v>8482.4999999999927</v>
          </cell>
        </row>
        <row r="120">
          <cell r="D120">
            <v>2294</v>
          </cell>
          <cell r="E120" t="str">
            <v>Stannington Infant School</v>
          </cell>
          <cell r="G120">
            <v>181</v>
          </cell>
          <cell r="H120">
            <v>2.4793388429752101E-2</v>
          </cell>
          <cell r="I120">
            <v>4.4876033057851306</v>
          </cell>
          <cell r="J120">
            <v>2602.8099173553755</v>
          </cell>
        </row>
        <row r="121">
          <cell r="D121">
            <v>2303</v>
          </cell>
          <cell r="E121" t="str">
            <v>Stocksbridge Junior School</v>
          </cell>
          <cell r="G121">
            <v>295</v>
          </cell>
          <cell r="H121">
            <v>6.7796610169491497E-3</v>
          </cell>
          <cell r="I121">
            <v>1.9999999999999991</v>
          </cell>
          <cell r="J121">
            <v>1159.9999999999995</v>
          </cell>
        </row>
        <row r="122">
          <cell r="D122">
            <v>2302</v>
          </cell>
          <cell r="E122" t="str">
            <v>Stocksbridge Nursery Infant School</v>
          </cell>
          <cell r="G122">
            <v>198</v>
          </cell>
          <cell r="H122">
            <v>7.14285714285714E-3</v>
          </cell>
          <cell r="I122">
            <v>1.4142857142857137</v>
          </cell>
          <cell r="J122">
            <v>820.28571428571399</v>
          </cell>
        </row>
        <row r="123">
          <cell r="D123">
            <v>2350</v>
          </cell>
          <cell r="E123" t="str">
            <v>Stradbroke Primary School</v>
          </cell>
          <cell r="G123">
            <v>411</v>
          </cell>
          <cell r="H123">
            <v>5.3824362606232301E-2</v>
          </cell>
          <cell r="I123">
            <v>22.121813031161476</v>
          </cell>
          <cell r="J123">
            <v>12830.651558073656</v>
          </cell>
        </row>
        <row r="124">
          <cell r="D124">
            <v>2230</v>
          </cell>
          <cell r="E124" t="str">
            <v>Tinsley Meadows Primary School</v>
          </cell>
          <cell r="G124">
            <v>545</v>
          </cell>
          <cell r="H124">
            <v>0.44747899159663901</v>
          </cell>
          <cell r="I124">
            <v>243.87605042016827</v>
          </cell>
          <cell r="J124">
            <v>141448.1092436976</v>
          </cell>
        </row>
        <row r="125">
          <cell r="D125">
            <v>5206</v>
          </cell>
          <cell r="E125" t="str">
            <v>Totley All Saints Church of England Voluntary Aided Primary School</v>
          </cell>
          <cell r="G125">
            <v>211</v>
          </cell>
          <cell r="H125">
            <v>4.94505494505494E-2</v>
          </cell>
          <cell r="I125">
            <v>10.434065934065924</v>
          </cell>
          <cell r="J125">
            <v>6051.7582417582353</v>
          </cell>
        </row>
        <row r="126">
          <cell r="D126">
            <v>2203</v>
          </cell>
          <cell r="E126" t="str">
            <v>Totley Primary School</v>
          </cell>
          <cell r="G126">
            <v>423</v>
          </cell>
          <cell r="H126">
            <v>6.0941828254847598E-2</v>
          </cell>
          <cell r="I126">
            <v>25.778393351800535</v>
          </cell>
          <cell r="J126">
            <v>14951.468144044311</v>
          </cell>
        </row>
        <row r="127">
          <cell r="D127">
            <v>2351</v>
          </cell>
          <cell r="E127" t="str">
            <v>Walkley Primary School</v>
          </cell>
          <cell r="G127">
            <v>377</v>
          </cell>
          <cell r="H127">
            <v>0.15408805031446501</v>
          </cell>
          <cell r="I127">
            <v>58.09119496855331</v>
          </cell>
          <cell r="J127">
            <v>33692.893081760922</v>
          </cell>
        </row>
        <row r="128">
          <cell r="D128">
            <v>3432</v>
          </cell>
          <cell r="E128" t="str">
            <v>Watercliffe Meadow Community Primary School</v>
          </cell>
          <cell r="G128">
            <v>417</v>
          </cell>
          <cell r="H128">
            <v>9.4972067039106101E-2</v>
          </cell>
          <cell r="I128">
            <v>39.603351955307247</v>
          </cell>
          <cell r="J128">
            <v>22969.944134078203</v>
          </cell>
        </row>
        <row r="129">
          <cell r="D129">
            <v>2319</v>
          </cell>
          <cell r="E129" t="str">
            <v>Waterthorpe Infant School</v>
          </cell>
          <cell r="G129">
            <v>134</v>
          </cell>
          <cell r="H129">
            <v>2.1739130434782601E-2</v>
          </cell>
          <cell r="I129">
            <v>2.9130434782608687</v>
          </cell>
          <cell r="J129">
            <v>1689.5652173913038</v>
          </cell>
        </row>
        <row r="130">
          <cell r="D130">
            <v>2352</v>
          </cell>
          <cell r="E130" t="str">
            <v>Westways Primary School</v>
          </cell>
          <cell r="G130">
            <v>580</v>
          </cell>
          <cell r="H130">
            <v>0.206060606060606</v>
          </cell>
          <cell r="I130">
            <v>119.51515151515147</v>
          </cell>
          <cell r="J130">
            <v>69318.787878787858</v>
          </cell>
        </row>
        <row r="131">
          <cell r="D131">
            <v>2311</v>
          </cell>
          <cell r="E131" t="str">
            <v>Wharncliffe Side Primary School</v>
          </cell>
          <cell r="G131">
            <v>142</v>
          </cell>
          <cell r="H131">
            <v>2.5210084033613401E-2</v>
          </cell>
          <cell r="I131">
            <v>3.5798319327731027</v>
          </cell>
          <cell r="J131">
            <v>2076.3025210083997</v>
          </cell>
        </row>
        <row r="132">
          <cell r="D132">
            <v>2040</v>
          </cell>
          <cell r="E132" t="str">
            <v>Whiteways Primary School</v>
          </cell>
          <cell r="G132">
            <v>406</v>
          </cell>
          <cell r="H132">
            <v>0.51098901098901095</v>
          </cell>
          <cell r="I132">
            <v>207.46153846153845</v>
          </cell>
          <cell r="J132">
            <v>120327.6923076923</v>
          </cell>
        </row>
        <row r="133">
          <cell r="D133">
            <v>2027</v>
          </cell>
          <cell r="E133" t="str">
            <v>Wincobank Nursery and Infant School</v>
          </cell>
          <cell r="G133">
            <v>137</v>
          </cell>
          <cell r="H133">
            <v>0.225806451612903</v>
          </cell>
          <cell r="I133">
            <v>30.935483870967712</v>
          </cell>
          <cell r="J133">
            <v>17942.580645161273</v>
          </cell>
        </row>
        <row r="134">
          <cell r="D134">
            <v>2361</v>
          </cell>
          <cell r="E134" t="str">
            <v>Windmill Hill Primary School</v>
          </cell>
          <cell r="G134">
            <v>315</v>
          </cell>
          <cell r="H134">
            <v>1.4705882352941201E-2</v>
          </cell>
          <cell r="I134">
            <v>4.6323529411764781</v>
          </cell>
          <cell r="J134">
            <v>2686.7647058823572</v>
          </cell>
        </row>
        <row r="135">
          <cell r="D135">
            <v>2043</v>
          </cell>
          <cell r="E135" t="str">
            <v>Wisewood Community Primary School</v>
          </cell>
          <cell r="G135">
            <v>156</v>
          </cell>
          <cell r="H135">
            <v>5.8823529411764698E-2</v>
          </cell>
          <cell r="I135">
            <v>9.1764705882352935</v>
          </cell>
          <cell r="J135">
            <v>5322.3529411764703</v>
          </cell>
        </row>
        <row r="136">
          <cell r="D136">
            <v>2139</v>
          </cell>
          <cell r="E136" t="str">
            <v>Woodhouse West Primary School</v>
          </cell>
          <cell r="G136">
            <v>360</v>
          </cell>
          <cell r="H136">
            <v>7.0739549839228297E-2</v>
          </cell>
          <cell r="I136">
            <v>25.466237942122188</v>
          </cell>
          <cell r="J136">
            <v>14770.418006430869</v>
          </cell>
        </row>
        <row r="137">
          <cell r="D137">
            <v>2034</v>
          </cell>
          <cell r="E137" t="str">
            <v>Woodlands Primary School</v>
          </cell>
          <cell r="G137">
            <v>395</v>
          </cell>
          <cell r="H137">
            <v>8.5798816568047304E-2</v>
          </cell>
          <cell r="I137">
            <v>33.890532544378686</v>
          </cell>
          <cell r="J137">
            <v>19656.508875739637</v>
          </cell>
        </row>
        <row r="138">
          <cell r="D138">
            <v>2324</v>
          </cell>
          <cell r="E138" t="str">
            <v>Woodseats Primary School</v>
          </cell>
          <cell r="G138">
            <v>363</v>
          </cell>
          <cell r="H138">
            <v>0.11356466876971601</v>
          </cell>
          <cell r="I138">
            <v>41.223974763406908</v>
          </cell>
          <cell r="J138">
            <v>23909.905362776008</v>
          </cell>
        </row>
        <row r="139">
          <cell r="D139">
            <v>2327</v>
          </cell>
          <cell r="E139" t="str">
            <v>Woodthorpe Primary School</v>
          </cell>
          <cell r="G139">
            <v>406</v>
          </cell>
          <cell r="H139">
            <v>6.8047337278106496E-2</v>
          </cell>
          <cell r="I139">
            <v>27.627218934911237</v>
          </cell>
          <cell r="J139">
            <v>16023.786982248517</v>
          </cell>
        </row>
        <row r="140">
          <cell r="D140">
            <v>2321</v>
          </cell>
          <cell r="E140" t="str">
            <v>Wybourn Community Primary &amp; Nursery School</v>
          </cell>
          <cell r="G140">
            <v>424</v>
          </cell>
          <cell r="H140">
            <v>0.101928374655647</v>
          </cell>
          <cell r="I140">
            <v>43.217630853994329</v>
          </cell>
          <cell r="J140">
            <v>25066.225895316711</v>
          </cell>
        </row>
        <row r="141">
          <cell r="D141">
            <v>0</v>
          </cell>
          <cell r="E141">
            <v>0</v>
          </cell>
        </row>
        <row r="142">
          <cell r="D142">
            <v>0</v>
          </cell>
          <cell r="E142" t="str">
            <v>Total Primary</v>
          </cell>
          <cell r="G142">
            <v>43411</v>
          </cell>
          <cell r="H142">
            <v>0.14084090264012664</v>
          </cell>
          <cell r="I142">
            <v>6114.0444245105373</v>
          </cell>
          <cell r="J142">
            <v>3546145.7662161114</v>
          </cell>
        </row>
        <row r="143">
          <cell r="D143">
            <v>0</v>
          </cell>
          <cell r="E143">
            <v>0</v>
          </cell>
        </row>
        <row r="144">
          <cell r="D144">
            <v>0</v>
          </cell>
          <cell r="E144" t="str">
            <v>Secondary</v>
          </cell>
        </row>
        <row r="145">
          <cell r="D145">
            <v>0</v>
          </cell>
          <cell r="E145">
            <v>0</v>
          </cell>
          <cell r="H145">
            <v>44</v>
          </cell>
        </row>
        <row r="146">
          <cell r="D146">
            <v>5401</v>
          </cell>
          <cell r="E146" t="str">
            <v>All Saints' Catholic High School</v>
          </cell>
          <cell r="G146">
            <v>1034</v>
          </cell>
          <cell r="H146">
            <v>2.3233301064859602E-2</v>
          </cell>
          <cell r="I146">
            <v>24.023233301064828</v>
          </cell>
          <cell r="J146">
            <v>37596.360116166456</v>
          </cell>
        </row>
        <row r="147">
          <cell r="D147">
            <v>4017</v>
          </cell>
          <cell r="E147" t="str">
            <v>Bradfield School</v>
          </cell>
          <cell r="G147">
            <v>1065</v>
          </cell>
          <cell r="H147">
            <v>6.5975494816211096E-3</v>
          </cell>
          <cell r="I147">
            <v>7.0263901979264816</v>
          </cell>
          <cell r="J147">
            <v>10996.300659754943</v>
          </cell>
        </row>
        <row r="148">
          <cell r="D148">
            <v>4000</v>
          </cell>
          <cell r="E148" t="str">
            <v>Chaucer School</v>
          </cell>
          <cell r="G148">
            <v>842</v>
          </cell>
          <cell r="H148">
            <v>3.8976857490864797E-2</v>
          </cell>
          <cell r="I148">
            <v>32.81851400730816</v>
          </cell>
          <cell r="J148">
            <v>51360.974421437269</v>
          </cell>
        </row>
        <row r="149">
          <cell r="D149">
            <v>4012</v>
          </cell>
          <cell r="E149" t="str">
            <v>Ecclesfield School</v>
          </cell>
          <cell r="G149">
            <v>1701</v>
          </cell>
          <cell r="H149">
            <v>1.06007067137809E-2</v>
          </cell>
          <cell r="I149">
            <v>18.031802120141311</v>
          </cell>
          <cell r="J149">
            <v>28219.77031802115</v>
          </cell>
        </row>
        <row r="150">
          <cell r="D150">
            <v>4280</v>
          </cell>
          <cell r="E150" t="str">
            <v>Fir Vale School</v>
          </cell>
          <cell r="G150">
            <v>1025</v>
          </cell>
          <cell r="H150">
            <v>0.16519174041297899</v>
          </cell>
          <cell r="I150">
            <v>169.32153392330346</v>
          </cell>
          <cell r="J150">
            <v>264988.20058996993</v>
          </cell>
        </row>
        <row r="151">
          <cell r="D151">
            <v>4003</v>
          </cell>
          <cell r="E151" t="str">
            <v>Firth Park Academy</v>
          </cell>
          <cell r="G151">
            <v>1166</v>
          </cell>
          <cell r="H151">
            <v>7.5471698113207503E-2</v>
          </cell>
          <cell r="I151">
            <v>87.999999999999943</v>
          </cell>
          <cell r="J151">
            <v>137719.99999999991</v>
          </cell>
        </row>
        <row r="152">
          <cell r="D152">
            <v>4007</v>
          </cell>
          <cell r="E152" t="str">
            <v>Forge Valley School</v>
          </cell>
          <cell r="G152">
            <v>1243</v>
          </cell>
          <cell r="H152">
            <v>2.8203062046736501E-2</v>
          </cell>
          <cell r="I152">
            <v>35.056406124093471</v>
          </cell>
          <cell r="J152">
            <v>54863.275584206283</v>
          </cell>
        </row>
        <row r="153">
          <cell r="D153">
            <v>4278</v>
          </cell>
          <cell r="E153" t="str">
            <v>Handsworth Grange Community Sports College</v>
          </cell>
          <cell r="G153">
            <v>1015</v>
          </cell>
          <cell r="H153">
            <v>8.8669950738916297E-3</v>
          </cell>
          <cell r="I153">
            <v>9.0000000000000036</v>
          </cell>
          <cell r="J153">
            <v>14085.000000000005</v>
          </cell>
        </row>
        <row r="154">
          <cell r="D154">
            <v>4257</v>
          </cell>
          <cell r="E154" t="str">
            <v>High Storrs School</v>
          </cell>
          <cell r="G154">
            <v>1214</v>
          </cell>
          <cell r="H154">
            <v>1.3245033112582801E-2</v>
          </cell>
          <cell r="I154">
            <v>16.079470198675519</v>
          </cell>
          <cell r="J154">
            <v>25164.370860927189</v>
          </cell>
        </row>
        <row r="155">
          <cell r="D155">
            <v>4230</v>
          </cell>
          <cell r="E155" t="str">
            <v>King Ecgbert School</v>
          </cell>
          <cell r="G155">
            <v>1030</v>
          </cell>
          <cell r="H155">
            <v>1.84466019417476E-2</v>
          </cell>
          <cell r="I155">
            <v>19.000000000000028</v>
          </cell>
          <cell r="J155">
            <v>29735.000000000044</v>
          </cell>
        </row>
        <row r="156">
          <cell r="D156">
            <v>4259</v>
          </cell>
          <cell r="E156" t="str">
            <v>King Edward VII School</v>
          </cell>
          <cell r="G156">
            <v>1141</v>
          </cell>
          <cell r="H156">
            <v>6.13496932515337E-2</v>
          </cell>
          <cell r="I156">
            <v>69.999999999999957</v>
          </cell>
          <cell r="J156">
            <v>109549.99999999993</v>
          </cell>
        </row>
        <row r="157">
          <cell r="D157">
            <v>4279</v>
          </cell>
          <cell r="E157" t="str">
            <v>Meadowhead School Academy Trust</v>
          </cell>
          <cell r="G157">
            <v>1640</v>
          </cell>
          <cell r="H157">
            <v>2.25609756097561E-2</v>
          </cell>
          <cell r="I157">
            <v>37.000000000000007</v>
          </cell>
          <cell r="J157">
            <v>57905.000000000015</v>
          </cell>
        </row>
        <row r="158">
          <cell r="D158">
            <v>4015</v>
          </cell>
          <cell r="E158" t="str">
            <v>Mercia School</v>
          </cell>
          <cell r="G158">
            <v>786</v>
          </cell>
          <cell r="H158">
            <v>1.6560509554140099E-2</v>
          </cell>
          <cell r="I158">
            <v>13.016560509554118</v>
          </cell>
          <cell r="J158">
            <v>20370.917197452196</v>
          </cell>
        </row>
        <row r="159">
          <cell r="D159">
            <v>4008</v>
          </cell>
          <cell r="E159" t="str">
            <v>Newfield Secondary School</v>
          </cell>
          <cell r="G159">
            <v>1055</v>
          </cell>
          <cell r="H159">
            <v>2.1863117870722398E-2</v>
          </cell>
          <cell r="I159">
            <v>23.065589353612129</v>
          </cell>
          <cell r="J159">
            <v>36097.647338402981</v>
          </cell>
        </row>
        <row r="160">
          <cell r="D160">
            <v>5400</v>
          </cell>
          <cell r="E160" t="str">
            <v>Notre Dame High School</v>
          </cell>
          <cell r="G160">
            <v>1067</v>
          </cell>
          <cell r="H160">
            <v>6.7243035542747399E-3</v>
          </cell>
          <cell r="I160">
            <v>7.1748318924111478</v>
          </cell>
          <cell r="J160">
            <v>11228.611911623446</v>
          </cell>
        </row>
        <row r="161">
          <cell r="D161">
            <v>4006</v>
          </cell>
          <cell r="E161" t="str">
            <v>Outwood Academy City</v>
          </cell>
          <cell r="G161">
            <v>1126</v>
          </cell>
          <cell r="H161">
            <v>2.1352313167259801E-2</v>
          </cell>
          <cell r="I161">
            <v>24.042704626334537</v>
          </cell>
          <cell r="J161">
            <v>37626.832740213547</v>
          </cell>
        </row>
        <row r="162">
          <cell r="D162">
            <v>6907</v>
          </cell>
          <cell r="E162" t="str">
            <v>Parkwood E-ACT Academy</v>
          </cell>
          <cell r="G162">
            <v>793</v>
          </cell>
          <cell r="H162">
            <v>0.121638924455826</v>
          </cell>
          <cell r="I162">
            <v>96.459667093470017</v>
          </cell>
          <cell r="J162">
            <v>150959.37900128058</v>
          </cell>
        </row>
        <row r="163">
          <cell r="D163">
            <v>6905</v>
          </cell>
          <cell r="E163" t="str">
            <v>Sheffield Park Academy</v>
          </cell>
          <cell r="G163">
            <v>1029</v>
          </cell>
          <cell r="H163">
            <v>3.61681329423265E-2</v>
          </cell>
          <cell r="I163">
            <v>37.217008797653968</v>
          </cell>
          <cell r="J163">
            <v>58244.618768328459</v>
          </cell>
        </row>
        <row r="164">
          <cell r="D164">
            <v>6906</v>
          </cell>
          <cell r="E164" t="str">
            <v>Sheffield Springs Academy</v>
          </cell>
          <cell r="G164">
            <v>981</v>
          </cell>
          <cell r="H164">
            <v>6.82773109243697E-2</v>
          </cell>
          <cell r="I164">
            <v>66.980042016806678</v>
          </cell>
          <cell r="J164">
            <v>104823.76575630245</v>
          </cell>
        </row>
        <row r="165">
          <cell r="D165">
            <v>4229</v>
          </cell>
          <cell r="E165" t="str">
            <v>Silverdale School</v>
          </cell>
          <cell r="G165">
            <v>1021</v>
          </cell>
          <cell r="H165">
            <v>1.7171717171717199E-2</v>
          </cell>
          <cell r="I165">
            <v>17.532323232323261</v>
          </cell>
          <cell r="J165">
            <v>27438.085858585902</v>
          </cell>
        </row>
        <row r="166">
          <cell r="D166">
            <v>4271</v>
          </cell>
          <cell r="E166" t="str">
            <v>Stocksbridge High School</v>
          </cell>
          <cell r="G166">
            <v>793</v>
          </cell>
          <cell r="H166">
            <v>3.7831021437578802E-3</v>
          </cell>
          <cell r="I166">
            <v>2.9999999999999991</v>
          </cell>
          <cell r="J166">
            <v>4694.9999999999982</v>
          </cell>
        </row>
        <row r="167">
          <cell r="D167">
            <v>4234</v>
          </cell>
          <cell r="E167" t="str">
            <v>Tapton School</v>
          </cell>
          <cell r="G167">
            <v>1357</v>
          </cell>
          <cell r="H167">
            <v>2.96296296296296E-2</v>
          </cell>
          <cell r="I167">
            <v>40.207407407407366</v>
          </cell>
          <cell r="J167">
            <v>62924.592592592526</v>
          </cell>
        </row>
        <row r="168">
          <cell r="D168">
            <v>4276</v>
          </cell>
          <cell r="E168" t="str">
            <v>The Birley Academy</v>
          </cell>
          <cell r="G168">
            <v>1076</v>
          </cell>
          <cell r="H168">
            <v>1.8587360594795502E-2</v>
          </cell>
          <cell r="I168">
            <v>19.999999999999961</v>
          </cell>
          <cell r="J168">
            <v>31299.999999999938</v>
          </cell>
        </row>
        <row r="169">
          <cell r="D169">
            <v>4004</v>
          </cell>
          <cell r="E169" t="str">
            <v>UTC Sheffield City Centre</v>
          </cell>
          <cell r="G169">
            <v>312</v>
          </cell>
          <cell r="H169">
            <v>7.1174377224199302E-3</v>
          </cell>
          <cell r="I169">
            <v>2.2206405693950182</v>
          </cell>
          <cell r="J169">
            <v>3475.3024911032035</v>
          </cell>
        </row>
        <row r="170">
          <cell r="D170">
            <v>4010</v>
          </cell>
          <cell r="E170" t="str">
            <v>UTC Sheffield Olympic Legacy Park</v>
          </cell>
          <cell r="G170">
            <v>301</v>
          </cell>
          <cell r="H170">
            <v>1.02040816326531E-2</v>
          </cell>
          <cell r="I170">
            <v>3.0714285714285832</v>
          </cell>
          <cell r="J170">
            <v>4806.7857142857329</v>
          </cell>
        </row>
        <row r="171">
          <cell r="D171">
            <v>4013</v>
          </cell>
          <cell r="E171" t="str">
            <v>Westfield School</v>
          </cell>
          <cell r="G171">
            <v>1245</v>
          </cell>
          <cell r="H171">
            <v>1.6103059581320501E-3</v>
          </cell>
          <cell r="I171">
            <v>2.0048309178744024</v>
          </cell>
          <cell r="J171">
            <v>3137.5603864734398</v>
          </cell>
        </row>
        <row r="172">
          <cell r="D172">
            <v>4016</v>
          </cell>
          <cell r="E172" t="str">
            <v>Yewlands Academy</v>
          </cell>
          <cell r="G172">
            <v>901</v>
          </cell>
          <cell r="H172">
            <v>1.10987791342952E-2</v>
          </cell>
          <cell r="I172">
            <v>9.9999999999999751</v>
          </cell>
          <cell r="J172">
            <v>15649.999999999962</v>
          </cell>
        </row>
        <row r="173">
          <cell r="D173">
            <v>0</v>
          </cell>
          <cell r="E173">
            <v>0</v>
          </cell>
        </row>
        <row r="174">
          <cell r="D174">
            <v>0</v>
          </cell>
          <cell r="E174" t="str">
            <v>Total Secondary</v>
          </cell>
          <cell r="G174">
            <v>27959</v>
          </cell>
          <cell r="H174">
            <v>3.1880624659708298E-2</v>
          </cell>
          <cell r="I174">
            <v>891.3503848607844</v>
          </cell>
          <cell r="J174">
            <v>1394963.3523071278</v>
          </cell>
        </row>
        <row r="175">
          <cell r="D175">
            <v>0</v>
          </cell>
          <cell r="E175">
            <v>0</v>
          </cell>
        </row>
        <row r="176">
          <cell r="D176">
            <v>0</v>
          </cell>
          <cell r="E176" t="str">
            <v>Middle Deemed Secondary</v>
          </cell>
        </row>
        <row r="177">
          <cell r="D177">
            <v>0</v>
          </cell>
          <cell r="E177">
            <v>0</v>
          </cell>
        </row>
        <row r="178">
          <cell r="D178">
            <v>4014</v>
          </cell>
          <cell r="E178" t="str">
            <v>Astrea Academy Sheffield</v>
          </cell>
          <cell r="G178">
            <v>979</v>
          </cell>
          <cell r="H178">
            <v>0.1718362512496916</v>
          </cell>
          <cell r="I178">
            <v>168.22768997344807</v>
          </cell>
          <cell r="J178">
            <v>153027.9711720825</v>
          </cell>
        </row>
        <row r="179">
          <cell r="D179">
            <v>4225</v>
          </cell>
          <cell r="E179" t="str">
            <v>Hinde House 2-16 School</v>
          </cell>
          <cell r="G179">
            <v>1322</v>
          </cell>
          <cell r="H179">
            <v>0.10126464923998847</v>
          </cell>
          <cell r="I179">
            <v>133.87186629526477</v>
          </cell>
          <cell r="J179">
            <v>114090.68245125358</v>
          </cell>
        </row>
        <row r="180">
          <cell r="D180">
            <v>4005</v>
          </cell>
          <cell r="E180" t="str">
            <v>Oasis Academy Don Valley</v>
          </cell>
          <cell r="G180">
            <v>1061</v>
          </cell>
          <cell r="H180">
            <v>0.11023811433704807</v>
          </cell>
          <cell r="I180">
            <v>116.962639311608</v>
          </cell>
          <cell r="J180">
            <v>96581.02909000167</v>
          </cell>
        </row>
        <row r="182">
          <cell r="E182" t="str">
            <v>Total Middle Deemed Secondary</v>
          </cell>
          <cell r="G182">
            <v>3362</v>
          </cell>
          <cell r="H182">
            <v>0.124646697079215</v>
          </cell>
          <cell r="I182">
            <v>419.0621955803208</v>
          </cell>
          <cell r="J182">
            <v>363699.68271333777</v>
          </cell>
        </row>
        <row r="184">
          <cell r="E184" t="str">
            <v>TOTAL ALL SCHOOLS</v>
          </cell>
          <cell r="G184">
            <v>74732</v>
          </cell>
          <cell r="H184">
            <v>9.9347762738206419E-2</v>
          </cell>
          <cell r="I184">
            <v>7424.4570049516424</v>
          </cell>
          <cell r="J184">
            <v>5304808.8012365773</v>
          </cell>
        </row>
        <row r="185">
          <cell r="G185">
            <v>0</v>
          </cell>
          <cell r="J185">
            <v>0</v>
          </cell>
        </row>
        <row r="187">
          <cell r="D187">
            <v>4014</v>
          </cell>
          <cell r="E187" t="str">
            <v>Astrea Academy - Pri</v>
          </cell>
          <cell r="G187">
            <v>243</v>
          </cell>
          <cell r="H187">
            <v>0.46060606060606102</v>
          </cell>
          <cell r="I187">
            <v>111.92727272727282</v>
          </cell>
          <cell r="J187">
            <v>64917.818181818235</v>
          </cell>
        </row>
        <row r="188">
          <cell r="D188">
            <v>4014</v>
          </cell>
          <cell r="E188" t="str">
            <v>Astrea Academy - Sec</v>
          </cell>
          <cell r="G188">
            <v>736</v>
          </cell>
          <cell r="H188">
            <v>7.6495132127955501E-2</v>
          </cell>
          <cell r="I188">
            <v>56.30041724617525</v>
          </cell>
          <cell r="J188">
            <v>88110.152990264265</v>
          </cell>
        </row>
        <row r="189">
          <cell r="G189">
            <v>979</v>
          </cell>
          <cell r="H189">
            <v>0.1718362512496916</v>
          </cell>
          <cell r="I189">
            <v>168.22768997344807</v>
          </cell>
          <cell r="J189">
            <v>153027.9711720825</v>
          </cell>
        </row>
        <row r="191">
          <cell r="D191">
            <v>4225</v>
          </cell>
          <cell r="E191" t="str">
            <v>Hinde House 3-16 - Pri</v>
          </cell>
          <cell r="G191">
            <v>419</v>
          </cell>
          <cell r="H191">
            <v>0.23119777158774399</v>
          </cell>
          <cell r="I191">
            <v>96.871866295264738</v>
          </cell>
          <cell r="J191">
            <v>56185.682451253546</v>
          </cell>
        </row>
        <row r="192">
          <cell r="D192">
            <v>4225</v>
          </cell>
          <cell r="E192" t="str">
            <v>Hinde House 3-16 - Sec</v>
          </cell>
          <cell r="G192">
            <v>903</v>
          </cell>
          <cell r="H192">
            <v>4.09745293466224E-2</v>
          </cell>
          <cell r="I192">
            <v>37.000000000000028</v>
          </cell>
          <cell r="J192">
            <v>57905.000000000044</v>
          </cell>
        </row>
        <row r="193">
          <cell r="E193" t="e">
            <v>#REF!</v>
          </cell>
          <cell r="G193">
            <v>1322</v>
          </cell>
          <cell r="H193">
            <v>0.10126464923998847</v>
          </cell>
          <cell r="I193">
            <v>133.87186629526477</v>
          </cell>
          <cell r="J193">
            <v>114090.68245125358</v>
          </cell>
        </row>
        <row r="195">
          <cell r="D195">
            <v>4005</v>
          </cell>
          <cell r="E195" t="str">
            <v>Oasis Academy Don Valley - Pri</v>
          </cell>
          <cell r="G195">
            <v>414</v>
          </cell>
          <cell r="H195">
            <v>0.212034383954155</v>
          </cell>
          <cell r="I195">
            <v>87.782234957020165</v>
          </cell>
          <cell r="J195">
            <v>50913.696275071699</v>
          </cell>
        </row>
        <row r="196">
          <cell r="D196">
            <v>4005</v>
          </cell>
          <cell r="E196" t="str">
            <v>Oasis Academy Don Valley - Sec</v>
          </cell>
          <cell r="G196">
            <v>647</v>
          </cell>
          <cell r="H196">
            <v>4.5101088646967297E-2</v>
          </cell>
          <cell r="I196">
            <v>29.180404354587839</v>
          </cell>
          <cell r="J196">
            <v>45667.33281492997</v>
          </cell>
        </row>
        <row r="197">
          <cell r="G197">
            <v>1061</v>
          </cell>
          <cell r="H197">
            <v>0.11023811433704807</v>
          </cell>
          <cell r="I197">
            <v>116.962639311608</v>
          </cell>
          <cell r="J197">
            <v>96581.02909000167</v>
          </cell>
        </row>
        <row r="199">
          <cell r="G199" t="str">
            <v>Primary</v>
          </cell>
          <cell r="H199">
            <v>580</v>
          </cell>
          <cell r="I199">
            <v>6410.6257984900958</v>
          </cell>
          <cell r="J199">
            <v>3718162.9631242556</v>
          </cell>
        </row>
        <row r="200">
          <cell r="G200" t="str">
            <v>Secondary</v>
          </cell>
          <cell r="H200">
            <v>1565</v>
          </cell>
          <cell r="I200">
            <v>1013.8312064615475</v>
          </cell>
          <cell r="J200">
            <v>1586645.8381123219</v>
          </cell>
        </row>
        <row r="201">
          <cell r="I201">
            <v>7424.4570049516433</v>
          </cell>
          <cell r="J201">
            <v>5304808.8012365773</v>
          </cell>
        </row>
        <row r="202">
          <cell r="J202">
            <v>0</v>
          </cell>
        </row>
      </sheetData>
      <sheetData sheetId="22">
        <row r="1">
          <cell r="D1" t="str">
            <v>Mobility Funding</v>
          </cell>
          <cell r="F1" t="e">
            <v>#REF!</v>
          </cell>
          <cell r="G1" t="str">
            <v>2023-24</v>
          </cell>
        </row>
        <row r="2">
          <cell r="D2" t="str">
            <v xml:space="preserve">First entry for the pupil at the school, or any predecessor school where appropriate, </v>
          </cell>
          <cell r="M2" t="str">
            <v>£/pupil</v>
          </cell>
          <cell r="N2" t="str">
            <v>Funding £</v>
          </cell>
        </row>
        <row r="3">
          <cell r="D3" t="str">
            <v>was in last three academic years; separate primary/secondary.</v>
          </cell>
          <cell r="I3">
            <v>1.3185064272597438</v>
          </cell>
          <cell r="K3" t="str">
            <v>Primary</v>
          </cell>
          <cell r="M3">
            <v>945</v>
          </cell>
          <cell r="N3">
            <v>590226.4882313807</v>
          </cell>
        </row>
        <row r="4">
          <cell r="D4" t="str">
            <v>Autumn (October) 2019 census, plus January, May or October 2017 and 2018 or October 2016 censuses.</v>
          </cell>
          <cell r="K4" t="str">
            <v>Secondary</v>
          </cell>
          <cell r="M4">
            <v>1360</v>
          </cell>
          <cell r="N4">
            <v>186403.19895009292</v>
          </cell>
        </row>
        <row r="5">
          <cell r="D5" t="str">
            <v>Mapping on UPN for the school or its predecessors for on-roll records.</v>
          </cell>
          <cell r="N5">
            <v>776629.68718147359</v>
          </cell>
        </row>
        <row r="6">
          <cell r="D6" t="str">
            <v>DfE</v>
          </cell>
          <cell r="E6" t="str">
            <v>School</v>
          </cell>
          <cell r="G6" t="str">
            <v>Pupils</v>
          </cell>
          <cell r="H6" t="str">
            <v>2022-23 % Mobility</v>
          </cell>
          <cell r="I6" t="str">
            <v>Pupils Affected by Mobility 2022-23</v>
          </cell>
          <cell r="J6" t="str">
            <v>Pupils Affected by Mobility 2023-24</v>
          </cell>
          <cell r="K6" t="str">
            <v>% Pupils Affected by Mobility 2023-24</v>
          </cell>
          <cell r="L6" t="str">
            <v>2023-24 % Mob as % of 2022-23 % Mob</v>
          </cell>
          <cell r="M6" t="str">
            <v>% Funded (above 6% threshold)</v>
          </cell>
          <cell r="N6" t="str">
            <v>Allocation (above 6% or more pupils affected by Mobility)</v>
          </cell>
        </row>
        <row r="7">
          <cell r="K7">
            <v>51</v>
          </cell>
          <cell r="M7">
            <v>0.06</v>
          </cell>
        </row>
        <row r="8">
          <cell r="D8">
            <v>2001</v>
          </cell>
          <cell r="E8" t="str">
            <v>Abbey Lane Primary School</v>
          </cell>
          <cell r="G8">
            <v>546</v>
          </cell>
          <cell r="H8">
            <v>3.2315978456014402E-2</v>
          </cell>
          <cell r="I8">
            <v>0</v>
          </cell>
          <cell r="J8">
            <v>0</v>
          </cell>
          <cell r="K8">
            <v>3.8461538461538498E-2</v>
          </cell>
          <cell r="L8">
            <v>1.1901709401709399</v>
          </cell>
          <cell r="M8">
            <v>0</v>
          </cell>
          <cell r="N8">
            <v>0</v>
          </cell>
        </row>
        <row r="9">
          <cell r="D9">
            <v>2046</v>
          </cell>
          <cell r="E9" t="str">
            <v>Abbeyfield Primary Academy</v>
          </cell>
          <cell r="G9">
            <v>372</v>
          </cell>
          <cell r="H9">
            <v>0.138418079096045</v>
          </cell>
          <cell r="I9">
            <v>27.759999999999934</v>
          </cell>
          <cell r="J9">
            <v>36.679999999999843</v>
          </cell>
          <cell r="K9">
            <v>0.15860215053763399</v>
          </cell>
          <cell r="L9">
            <v>1.1458196181698472</v>
          </cell>
          <cell r="M9">
            <v>9.8602150537633992E-2</v>
          </cell>
          <cell r="N9">
            <v>34662.599999999853</v>
          </cell>
        </row>
        <row r="10">
          <cell r="D10">
            <v>2048</v>
          </cell>
          <cell r="E10" t="str">
            <v>Acres Hill Community Primary School</v>
          </cell>
          <cell r="G10">
            <v>205</v>
          </cell>
          <cell r="H10">
            <v>0.10309278350515499</v>
          </cell>
          <cell r="I10">
            <v>8.3600000000000687</v>
          </cell>
          <cell r="J10">
            <v>8.7000000000000188</v>
          </cell>
          <cell r="K10">
            <v>0.10243902439024399</v>
          </cell>
          <cell r="L10">
            <v>0.99365853658536329</v>
          </cell>
          <cell r="M10">
            <v>4.2439024390243996E-2</v>
          </cell>
          <cell r="N10">
            <v>8221.5000000000182</v>
          </cell>
        </row>
        <row r="11">
          <cell r="D11">
            <v>2342</v>
          </cell>
          <cell r="E11" t="str">
            <v>Angram Bank Primary School</v>
          </cell>
          <cell r="G11">
            <v>184</v>
          </cell>
          <cell r="H11">
            <v>3.0769230769230799E-2</v>
          </cell>
          <cell r="I11">
            <v>0</v>
          </cell>
          <cell r="J11">
            <v>0</v>
          </cell>
          <cell r="K11">
            <v>3.2608695652173898E-2</v>
          </cell>
          <cell r="L11">
            <v>1.0597826086956508</v>
          </cell>
          <cell r="M11">
            <v>0</v>
          </cell>
          <cell r="N11">
            <v>0</v>
          </cell>
        </row>
        <row r="12">
          <cell r="D12">
            <v>2343</v>
          </cell>
          <cell r="E12" t="str">
            <v>Anns Grove Primary School</v>
          </cell>
          <cell r="G12">
            <v>334</v>
          </cell>
          <cell r="H12">
            <v>3.7037037037037E-2</v>
          </cell>
          <cell r="I12">
            <v>0</v>
          </cell>
          <cell r="J12">
            <v>0</v>
          </cell>
          <cell r="K12">
            <v>4.4910179640718598E-2</v>
          </cell>
          <cell r="L12">
            <v>1.2125748502994034</v>
          </cell>
          <cell r="M12">
            <v>0</v>
          </cell>
          <cell r="N12">
            <v>0</v>
          </cell>
        </row>
        <row r="13">
          <cell r="D13">
            <v>3429</v>
          </cell>
          <cell r="E13" t="str">
            <v>Arbourthorne Community Primary School</v>
          </cell>
          <cell r="G13">
            <v>420</v>
          </cell>
          <cell r="H13">
            <v>6.6997518610421802E-2</v>
          </cell>
          <cell r="I13">
            <v>2.8199999999999874</v>
          </cell>
          <cell r="J13">
            <v>8.8000000000000203</v>
          </cell>
          <cell r="K13">
            <v>8.0952380952380998E-2</v>
          </cell>
          <cell r="L13">
            <v>1.2082892416225763</v>
          </cell>
          <cell r="M13">
            <v>2.0952380952381E-2</v>
          </cell>
          <cell r="N13">
            <v>8316.00000000002</v>
          </cell>
        </row>
        <row r="14">
          <cell r="D14">
            <v>2340</v>
          </cell>
          <cell r="E14" t="str">
            <v>Athelstan Primary School</v>
          </cell>
          <cell r="G14">
            <v>614</v>
          </cell>
          <cell r="H14">
            <v>5.5284552845528502E-2</v>
          </cell>
          <cell r="I14">
            <v>0</v>
          </cell>
          <cell r="J14">
            <v>0</v>
          </cell>
          <cell r="K14">
            <v>5.2117263843648197E-2</v>
          </cell>
          <cell r="L14">
            <v>0.94270933128951806</v>
          </cell>
          <cell r="M14">
            <v>0</v>
          </cell>
          <cell r="N14">
            <v>0</v>
          </cell>
        </row>
        <row r="15">
          <cell r="D15">
            <v>2281</v>
          </cell>
          <cell r="E15" t="str">
            <v>Ballifield Primary School</v>
          </cell>
          <cell r="G15">
            <v>415</v>
          </cell>
          <cell r="H15">
            <v>2.89156626506024E-2</v>
          </cell>
          <cell r="I15">
            <v>0</v>
          </cell>
          <cell r="J15">
            <v>0</v>
          </cell>
          <cell r="K15">
            <v>2.40963855421687E-2</v>
          </cell>
          <cell r="L15">
            <v>0.83333333333333448</v>
          </cell>
          <cell r="M15">
            <v>0</v>
          </cell>
          <cell r="N15">
            <v>0</v>
          </cell>
        </row>
        <row r="16">
          <cell r="D16">
            <v>2322</v>
          </cell>
          <cell r="E16" t="str">
            <v>Bankwood Community Primary School</v>
          </cell>
          <cell r="G16">
            <v>384</v>
          </cell>
          <cell r="H16">
            <v>8.2644628099173598E-2</v>
          </cell>
          <cell r="I16">
            <v>8.2200000000000166</v>
          </cell>
          <cell r="J16">
            <v>21.96</v>
          </cell>
          <cell r="K16">
            <v>0.1171875</v>
          </cell>
          <cell r="L16">
            <v>1.4179687499999993</v>
          </cell>
          <cell r="M16">
            <v>5.7187500000000002E-2</v>
          </cell>
          <cell r="N16">
            <v>20752.2</v>
          </cell>
        </row>
        <row r="17">
          <cell r="D17">
            <v>2274</v>
          </cell>
          <cell r="E17" t="str">
            <v>Beck Primary School</v>
          </cell>
          <cell r="G17">
            <v>615</v>
          </cell>
          <cell r="H17">
            <v>3.6184210526315798E-2</v>
          </cell>
          <cell r="I17">
            <v>0</v>
          </cell>
          <cell r="J17">
            <v>0</v>
          </cell>
          <cell r="K17">
            <v>4.2276422764227599E-2</v>
          </cell>
          <cell r="L17">
            <v>1.1683665927568352</v>
          </cell>
          <cell r="M17">
            <v>0</v>
          </cell>
          <cell r="N17">
            <v>0</v>
          </cell>
        </row>
        <row r="18">
          <cell r="D18">
            <v>2241</v>
          </cell>
          <cell r="E18" t="str">
            <v>Beighton Nursery Infant School</v>
          </cell>
          <cell r="G18">
            <v>242</v>
          </cell>
          <cell r="H18">
            <v>8.0321285140562207E-3</v>
          </cell>
          <cell r="I18">
            <v>0</v>
          </cell>
          <cell r="J18">
            <v>0</v>
          </cell>
          <cell r="K18">
            <v>8.2644628099173608E-3</v>
          </cell>
          <cell r="L18">
            <v>1.0289256198347119</v>
          </cell>
          <cell r="M18">
            <v>0</v>
          </cell>
          <cell r="N18">
            <v>0</v>
          </cell>
        </row>
        <row r="19">
          <cell r="D19">
            <v>2353</v>
          </cell>
          <cell r="E19" t="str">
            <v>Birley Primary Academy</v>
          </cell>
          <cell r="G19">
            <v>528</v>
          </cell>
          <cell r="H19">
            <v>2.4390243902439001E-2</v>
          </cell>
          <cell r="I19">
            <v>0</v>
          </cell>
          <cell r="J19">
            <v>0</v>
          </cell>
          <cell r="K19">
            <v>2.8409090909090901E-2</v>
          </cell>
          <cell r="L19">
            <v>1.164772727272728</v>
          </cell>
          <cell r="M19">
            <v>0</v>
          </cell>
          <cell r="N19">
            <v>0</v>
          </cell>
        </row>
        <row r="20">
          <cell r="D20">
            <v>2323</v>
          </cell>
          <cell r="E20" t="str">
            <v>Birley Spa Primary Academy</v>
          </cell>
          <cell r="G20">
            <v>337</v>
          </cell>
          <cell r="H20">
            <v>7.6056338028168996E-2</v>
          </cell>
          <cell r="I20">
            <v>5.699999999999994</v>
          </cell>
          <cell r="J20">
            <v>5.78</v>
          </cell>
          <cell r="K20">
            <v>7.71513353115727E-2</v>
          </cell>
          <cell r="L20">
            <v>1.0143971865040116</v>
          </cell>
          <cell r="M20">
            <v>1.7151335311572702E-2</v>
          </cell>
          <cell r="N20">
            <v>5462.1</v>
          </cell>
        </row>
        <row r="21">
          <cell r="D21">
            <v>2328</v>
          </cell>
          <cell r="E21" t="str">
            <v>Bradfield Dungworth Primary School</v>
          </cell>
          <cell r="G21">
            <v>137</v>
          </cell>
          <cell r="H21">
            <v>7.9365079365079395E-3</v>
          </cell>
          <cell r="I21">
            <v>0</v>
          </cell>
          <cell r="J21">
            <v>0</v>
          </cell>
          <cell r="K21">
            <v>7.2992700729926996E-3</v>
          </cell>
          <cell r="L21">
            <v>0.91970802919707983</v>
          </cell>
          <cell r="M21">
            <v>0</v>
          </cell>
          <cell r="N21">
            <v>0</v>
          </cell>
        </row>
        <row r="22">
          <cell r="D22">
            <v>2233</v>
          </cell>
          <cell r="E22" t="str">
            <v>Bradway Primary School</v>
          </cell>
          <cell r="G22">
            <v>414</v>
          </cell>
          <cell r="H22">
            <v>2.4213075060532701E-2</v>
          </cell>
          <cell r="I22">
            <v>0</v>
          </cell>
          <cell r="J22">
            <v>0</v>
          </cell>
          <cell r="K22">
            <v>3.1400966183574901E-2</v>
          </cell>
          <cell r="L22">
            <v>1.2968599033816426</v>
          </cell>
          <cell r="M22">
            <v>0</v>
          </cell>
          <cell r="N22">
            <v>0</v>
          </cell>
        </row>
        <row r="23">
          <cell r="D23">
            <v>2014</v>
          </cell>
          <cell r="E23" t="str">
            <v>Brightside Nursery and Infant School</v>
          </cell>
          <cell r="G23">
            <v>173</v>
          </cell>
          <cell r="H23">
            <v>3.5087719298245598E-2</v>
          </cell>
          <cell r="I23">
            <v>0</v>
          </cell>
          <cell r="J23">
            <v>0</v>
          </cell>
          <cell r="K23">
            <v>2.3121387283237E-2</v>
          </cell>
          <cell r="L23">
            <v>0.65895953757225478</v>
          </cell>
          <cell r="M23">
            <v>0</v>
          </cell>
          <cell r="N23">
            <v>0</v>
          </cell>
        </row>
        <row r="24">
          <cell r="D24">
            <v>2246</v>
          </cell>
          <cell r="E24" t="str">
            <v>Brook House Junior</v>
          </cell>
          <cell r="G24">
            <v>340</v>
          </cell>
          <cell r="H24">
            <v>1.47492625368732E-2</v>
          </cell>
          <cell r="I24">
            <v>0</v>
          </cell>
          <cell r="J24">
            <v>0</v>
          </cell>
          <cell r="K24">
            <v>2.0588235294117602E-2</v>
          </cell>
          <cell r="L24">
            <v>1.3958823529411692</v>
          </cell>
          <cell r="M24">
            <v>0</v>
          </cell>
          <cell r="N24">
            <v>0</v>
          </cell>
        </row>
        <row r="25">
          <cell r="D25">
            <v>5204</v>
          </cell>
          <cell r="E25" t="str">
            <v>Broomhill Infant School</v>
          </cell>
          <cell r="G25">
            <v>119</v>
          </cell>
          <cell r="H25">
            <v>3.6036036036036001E-2</v>
          </cell>
          <cell r="I25">
            <v>0</v>
          </cell>
          <cell r="J25">
            <v>0</v>
          </cell>
          <cell r="K25">
            <v>5.0847457627118599E-2</v>
          </cell>
          <cell r="L25">
            <v>1.4110169491525424</v>
          </cell>
          <cell r="M25">
            <v>0</v>
          </cell>
          <cell r="N25">
            <v>0</v>
          </cell>
        </row>
        <row r="26">
          <cell r="D26">
            <v>2325</v>
          </cell>
          <cell r="E26" t="str">
            <v>Brunswick Community Primary School</v>
          </cell>
          <cell r="G26">
            <v>417</v>
          </cell>
          <cell r="H26">
            <v>5.3398058252427202E-2</v>
          </cell>
          <cell r="I26">
            <v>0</v>
          </cell>
          <cell r="J26">
            <v>0</v>
          </cell>
          <cell r="K26">
            <v>4.7961630695443597E-2</v>
          </cell>
          <cell r="L26">
            <v>0.8981905384783071</v>
          </cell>
          <cell r="M26">
            <v>0</v>
          </cell>
          <cell r="N26">
            <v>0</v>
          </cell>
        </row>
        <row r="27">
          <cell r="D27">
            <v>2095</v>
          </cell>
          <cell r="E27" t="str">
            <v>Byron Wood Primary Academy</v>
          </cell>
          <cell r="G27">
            <v>395</v>
          </cell>
          <cell r="H27">
            <v>6.3451776649746203E-2</v>
          </cell>
          <cell r="I27">
            <v>1.3634517766497509</v>
          </cell>
          <cell r="J27">
            <v>12.391370558375629</v>
          </cell>
          <cell r="K27">
            <v>9.13705583756345E-2</v>
          </cell>
          <cell r="L27">
            <v>1.4399999999999995</v>
          </cell>
          <cell r="M27">
            <v>3.1370558375634502E-2</v>
          </cell>
          <cell r="N27">
            <v>11709.845177664969</v>
          </cell>
        </row>
        <row r="28">
          <cell r="D28">
            <v>2344</v>
          </cell>
          <cell r="E28" t="str">
            <v>Carfield Primary School</v>
          </cell>
          <cell r="G28">
            <v>570</v>
          </cell>
          <cell r="H28">
            <v>5.8181818181818203E-2</v>
          </cell>
          <cell r="I28">
            <v>0</v>
          </cell>
          <cell r="J28">
            <v>4.8000000000000274</v>
          </cell>
          <cell r="K28">
            <v>6.8421052631578994E-2</v>
          </cell>
          <cell r="L28">
            <v>1.1759868421052635</v>
          </cell>
          <cell r="M28">
            <v>8.4210526315789958E-3</v>
          </cell>
          <cell r="N28">
            <v>4536.0000000000255</v>
          </cell>
        </row>
        <row r="29">
          <cell r="D29">
            <v>2023</v>
          </cell>
          <cell r="E29" t="str">
            <v>Carter Knowle Junior School</v>
          </cell>
          <cell r="G29">
            <v>236</v>
          </cell>
          <cell r="H29">
            <v>3.1390134529148003E-2</v>
          </cell>
          <cell r="I29">
            <v>0</v>
          </cell>
          <cell r="J29">
            <v>1.8399999999999939</v>
          </cell>
          <cell r="K29">
            <v>6.7796610169491497E-2</v>
          </cell>
          <cell r="L29">
            <v>2.1598062953995134</v>
          </cell>
          <cell r="M29">
            <v>7.7966101694914997E-3</v>
          </cell>
          <cell r="N29">
            <v>1738.7999999999943</v>
          </cell>
        </row>
        <row r="30">
          <cell r="D30">
            <v>2354</v>
          </cell>
          <cell r="E30" t="str">
            <v>Charnock Hall Primary Academy</v>
          </cell>
          <cell r="G30">
            <v>407</v>
          </cell>
          <cell r="H30">
            <v>3.24189526184539E-2</v>
          </cell>
          <cell r="I30">
            <v>0</v>
          </cell>
          <cell r="J30">
            <v>0</v>
          </cell>
          <cell r="K30">
            <v>4.6683046683046701E-2</v>
          </cell>
          <cell r="L30">
            <v>1.4399924399924391</v>
          </cell>
          <cell r="M30">
            <v>0</v>
          </cell>
          <cell r="N30">
            <v>0</v>
          </cell>
        </row>
        <row r="31">
          <cell r="D31">
            <v>5200</v>
          </cell>
          <cell r="E31" t="str">
            <v>Clifford All Saints CofE Primary School</v>
          </cell>
          <cell r="G31">
            <v>184</v>
          </cell>
          <cell r="H31">
            <v>8.3769633507853394E-2</v>
          </cell>
          <cell r="I31">
            <v>4.5399999999999991</v>
          </cell>
          <cell r="J31">
            <v>7.9599999999999289</v>
          </cell>
          <cell r="K31">
            <v>0.103260869565217</v>
          </cell>
          <cell r="L31">
            <v>1.232676630434778</v>
          </cell>
          <cell r="M31">
            <v>4.3260869565217006E-2</v>
          </cell>
          <cell r="N31">
            <v>7522.1999999999325</v>
          </cell>
        </row>
        <row r="32">
          <cell r="D32">
            <v>2312</v>
          </cell>
          <cell r="E32" t="str">
            <v>Coit Primary School</v>
          </cell>
          <cell r="G32">
            <v>205</v>
          </cell>
          <cell r="H32">
            <v>9.9502487562189105E-3</v>
          </cell>
          <cell r="I32">
            <v>0</v>
          </cell>
          <cell r="J32">
            <v>0</v>
          </cell>
          <cell r="K32">
            <v>3.4146341463414602E-2</v>
          </cell>
          <cell r="L32">
            <v>3.4317073170731658</v>
          </cell>
          <cell r="M32">
            <v>0</v>
          </cell>
          <cell r="N32">
            <v>0</v>
          </cell>
        </row>
        <row r="33">
          <cell r="D33">
            <v>2026</v>
          </cell>
          <cell r="E33" t="str">
            <v>Concord Junior School</v>
          </cell>
          <cell r="G33">
            <v>198</v>
          </cell>
          <cell r="H33">
            <v>9.5238095238095205E-2</v>
          </cell>
          <cell r="I33">
            <v>6.6952380952380892</v>
          </cell>
          <cell r="J33">
            <v>9.1199999999999868</v>
          </cell>
          <cell r="K33">
            <v>0.10606060606060599</v>
          </cell>
          <cell r="L33">
            <v>1.1136363636363633</v>
          </cell>
          <cell r="M33">
            <v>4.6060606060605996E-2</v>
          </cell>
          <cell r="N33">
            <v>8618.3999999999869</v>
          </cell>
        </row>
        <row r="34">
          <cell r="D34">
            <v>3422</v>
          </cell>
          <cell r="E34" t="str">
            <v>Deepcar St John's Church of England Junior School</v>
          </cell>
          <cell r="G34">
            <v>175</v>
          </cell>
          <cell r="H34">
            <v>3.0120481927710802E-2</v>
          </cell>
          <cell r="I34">
            <v>0</v>
          </cell>
          <cell r="J34">
            <v>0</v>
          </cell>
          <cell r="K34">
            <v>1.7142857142857099E-2</v>
          </cell>
          <cell r="L34">
            <v>0.56914285714285651</v>
          </cell>
          <cell r="M34">
            <v>0</v>
          </cell>
          <cell r="N34">
            <v>0</v>
          </cell>
        </row>
        <row r="35">
          <cell r="D35">
            <v>2283</v>
          </cell>
          <cell r="E35" t="str">
            <v>Dobcroft Infant School</v>
          </cell>
          <cell r="G35">
            <v>269</v>
          </cell>
          <cell r="H35">
            <v>7.4074074074074103E-3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D36">
            <v>2239</v>
          </cell>
          <cell r="E36" t="str">
            <v>Dobcroft Junior School</v>
          </cell>
          <cell r="G36">
            <v>382</v>
          </cell>
          <cell r="H36">
            <v>1.19617224880383E-2</v>
          </cell>
          <cell r="I36">
            <v>0</v>
          </cell>
          <cell r="J36">
            <v>0</v>
          </cell>
          <cell r="K36">
            <v>5.2493438320209999E-3</v>
          </cell>
          <cell r="L36">
            <v>0.43884514435695476</v>
          </cell>
          <cell r="M36">
            <v>0</v>
          </cell>
          <cell r="N36">
            <v>0</v>
          </cell>
        </row>
        <row r="37">
          <cell r="D37">
            <v>2364</v>
          </cell>
          <cell r="E37" t="str">
            <v>Dore Primary School</v>
          </cell>
          <cell r="G37">
            <v>448</v>
          </cell>
          <cell r="H37">
            <v>2.0224719101123601E-2</v>
          </cell>
          <cell r="I37">
            <v>0</v>
          </cell>
          <cell r="J37">
            <v>0</v>
          </cell>
          <cell r="K37">
            <v>2.2371364653243801E-2</v>
          </cell>
          <cell r="L37">
            <v>1.1061396967437209</v>
          </cell>
          <cell r="M37">
            <v>0</v>
          </cell>
          <cell r="N37">
            <v>0</v>
          </cell>
        </row>
        <row r="38">
          <cell r="D38">
            <v>2016</v>
          </cell>
          <cell r="E38" t="str">
            <v>E-ACT Pathways Academy</v>
          </cell>
          <cell r="G38">
            <v>365</v>
          </cell>
          <cell r="H38">
            <v>0.126436781609195</v>
          </cell>
          <cell r="I38">
            <v>23.252873563218252</v>
          </cell>
          <cell r="J38">
            <v>26.36446280991747</v>
          </cell>
          <cell r="K38">
            <v>0.13223140495867799</v>
          </cell>
          <cell r="L38">
            <v>1.0458302028550019</v>
          </cell>
          <cell r="M38">
            <v>7.2231404958677997E-2</v>
          </cell>
          <cell r="N38">
            <v>24914.41735537201</v>
          </cell>
        </row>
        <row r="39">
          <cell r="D39">
            <v>2206</v>
          </cell>
          <cell r="E39" t="str">
            <v>Ecclesall Primary School</v>
          </cell>
          <cell r="G39">
            <v>620</v>
          </cell>
          <cell r="H39">
            <v>2.4958402662229599E-2</v>
          </cell>
          <cell r="I39">
            <v>0</v>
          </cell>
          <cell r="J39">
            <v>0</v>
          </cell>
          <cell r="K39">
            <v>1.7741935483870999E-2</v>
          </cell>
          <cell r="L39">
            <v>0.71086021505376529</v>
          </cell>
          <cell r="M39">
            <v>0</v>
          </cell>
          <cell r="N39">
            <v>0</v>
          </cell>
        </row>
        <row r="40">
          <cell r="D40">
            <v>2080</v>
          </cell>
          <cell r="E40" t="str">
            <v>Ecclesfield Primary School</v>
          </cell>
          <cell r="G40">
            <v>395</v>
          </cell>
          <cell r="H40">
            <v>2.3076923076923099E-2</v>
          </cell>
          <cell r="I40">
            <v>0</v>
          </cell>
          <cell r="J40">
            <v>0</v>
          </cell>
          <cell r="K40">
            <v>4.3256997455470701E-2</v>
          </cell>
          <cell r="L40">
            <v>1.874469889737062</v>
          </cell>
          <cell r="M40">
            <v>0</v>
          </cell>
          <cell r="N40">
            <v>0</v>
          </cell>
        </row>
        <row r="41">
          <cell r="D41">
            <v>2024</v>
          </cell>
          <cell r="E41" t="str">
            <v>Emmanuel Anglican/Methodist Junior School</v>
          </cell>
          <cell r="G41">
            <v>173</v>
          </cell>
          <cell r="H41">
            <v>3.20855614973262E-2</v>
          </cell>
          <cell r="I41">
            <v>0</v>
          </cell>
          <cell r="J41">
            <v>0</v>
          </cell>
          <cell r="K41">
            <v>5.2023121387283197E-2</v>
          </cell>
          <cell r="L41">
            <v>1.6213872832369931</v>
          </cell>
          <cell r="M41">
            <v>0</v>
          </cell>
          <cell r="N41">
            <v>0</v>
          </cell>
        </row>
        <row r="42">
          <cell r="D42">
            <v>2028</v>
          </cell>
          <cell r="E42" t="str">
            <v>Emmaus Catholic and CofE Primary School</v>
          </cell>
          <cell r="G42">
            <v>293</v>
          </cell>
          <cell r="H42">
            <v>5.0675675675675699E-2</v>
          </cell>
          <cell r="I42">
            <v>0</v>
          </cell>
          <cell r="J42">
            <v>5.4200000000000133</v>
          </cell>
          <cell r="K42">
            <v>7.8498293515358405E-2</v>
          </cell>
          <cell r="L42">
            <v>1.5490329920364052</v>
          </cell>
          <cell r="M42">
            <v>1.8498293515358408E-2</v>
          </cell>
          <cell r="N42">
            <v>5121.9000000000124</v>
          </cell>
        </row>
        <row r="43">
          <cell r="D43">
            <v>2010</v>
          </cell>
          <cell r="E43" t="str">
            <v>Fox Hill Primary</v>
          </cell>
          <cell r="G43">
            <v>274</v>
          </cell>
          <cell r="H43">
            <v>5.5363321799308002E-2</v>
          </cell>
          <cell r="I43">
            <v>0</v>
          </cell>
          <cell r="J43">
            <v>0</v>
          </cell>
          <cell r="K43">
            <v>5.8394160583941597E-2</v>
          </cell>
          <cell r="L43">
            <v>1.0547445255474444</v>
          </cell>
          <cell r="M43">
            <v>0</v>
          </cell>
          <cell r="N43">
            <v>0</v>
          </cell>
        </row>
        <row r="44">
          <cell r="D44">
            <v>2036</v>
          </cell>
          <cell r="E44" t="str">
            <v>Gleadless Primary School</v>
          </cell>
          <cell r="G44">
            <v>398</v>
          </cell>
          <cell r="H44">
            <v>4.3256997455470701E-2</v>
          </cell>
          <cell r="I44">
            <v>0</v>
          </cell>
          <cell r="J44">
            <v>0.11999999999998329</v>
          </cell>
          <cell r="K44">
            <v>6.0301507537688398E-2</v>
          </cell>
          <cell r="L44">
            <v>1.3940289683712683</v>
          </cell>
          <cell r="M44">
            <v>3.0150753768840022E-4</v>
          </cell>
          <cell r="N44">
            <v>113.3999999999842</v>
          </cell>
        </row>
        <row r="45">
          <cell r="D45">
            <v>2305</v>
          </cell>
          <cell r="E45" t="str">
            <v>Greengate Lane Academy</v>
          </cell>
          <cell r="G45">
            <v>190</v>
          </cell>
          <cell r="H45">
            <v>8.5561497326203204E-2</v>
          </cell>
          <cell r="I45">
            <v>4.7799999999999994</v>
          </cell>
          <cell r="J45">
            <v>3.5999999999999943</v>
          </cell>
          <cell r="K45">
            <v>7.8947368421052599E-2</v>
          </cell>
          <cell r="L45">
            <v>0.92269736842105232</v>
          </cell>
          <cell r="M45">
            <v>1.8947368421052602E-2</v>
          </cell>
          <cell r="N45">
            <v>3401.9999999999945</v>
          </cell>
        </row>
        <row r="46">
          <cell r="D46">
            <v>2341</v>
          </cell>
          <cell r="E46" t="str">
            <v>Greenhill Primary School</v>
          </cell>
          <cell r="G46">
            <v>468</v>
          </cell>
          <cell r="H46">
            <v>5.1502145922746802E-2</v>
          </cell>
          <cell r="I46">
            <v>0</v>
          </cell>
          <cell r="J46">
            <v>0</v>
          </cell>
          <cell r="K46">
            <v>4.2735042735042701E-2</v>
          </cell>
          <cell r="L46">
            <v>0.82977207977207879</v>
          </cell>
          <cell r="M46">
            <v>0</v>
          </cell>
          <cell r="N46">
            <v>0</v>
          </cell>
        </row>
        <row r="47">
          <cell r="D47">
            <v>2296</v>
          </cell>
          <cell r="E47" t="str">
            <v>Grenoside Community Primary School</v>
          </cell>
          <cell r="G47">
            <v>322</v>
          </cell>
          <cell r="H47">
            <v>1.9108280254777101E-2</v>
          </cell>
          <cell r="I47">
            <v>0</v>
          </cell>
          <cell r="J47">
            <v>0</v>
          </cell>
          <cell r="K47">
            <v>3.4161490683229802E-2</v>
          </cell>
          <cell r="L47">
            <v>1.7877846790890235</v>
          </cell>
          <cell r="M47">
            <v>0</v>
          </cell>
          <cell r="N47">
            <v>0</v>
          </cell>
        </row>
        <row r="48">
          <cell r="D48">
            <v>2356</v>
          </cell>
          <cell r="E48" t="str">
            <v>Greystones Primary School</v>
          </cell>
          <cell r="G48">
            <v>613</v>
          </cell>
          <cell r="H48">
            <v>3.5200000000000002E-2</v>
          </cell>
          <cell r="I48">
            <v>0</v>
          </cell>
          <cell r="J48">
            <v>0</v>
          </cell>
          <cell r="K48">
            <v>3.7520391517128902E-2</v>
          </cell>
          <cell r="L48">
            <v>1.0659202135547983</v>
          </cell>
          <cell r="M48">
            <v>0</v>
          </cell>
          <cell r="N48">
            <v>0</v>
          </cell>
        </row>
        <row r="49">
          <cell r="D49">
            <v>2279</v>
          </cell>
          <cell r="E49" t="str">
            <v>Halfway Junior School</v>
          </cell>
          <cell r="G49">
            <v>206</v>
          </cell>
          <cell r="H49">
            <v>3.3175355450236997E-2</v>
          </cell>
          <cell r="I49">
            <v>0</v>
          </cell>
          <cell r="J49">
            <v>0</v>
          </cell>
          <cell r="K49">
            <v>4.85436893203883E-2</v>
          </cell>
          <cell r="L49">
            <v>1.4632454923717031</v>
          </cell>
          <cell r="M49">
            <v>0</v>
          </cell>
          <cell r="N49">
            <v>0</v>
          </cell>
        </row>
        <row r="50">
          <cell r="D50">
            <v>2252</v>
          </cell>
          <cell r="E50" t="str">
            <v>Halfway Nursery Infant School</v>
          </cell>
          <cell r="G50">
            <v>157</v>
          </cell>
          <cell r="H50">
            <v>3.8461538461538498E-2</v>
          </cell>
          <cell r="I50">
            <v>0</v>
          </cell>
          <cell r="J50">
            <v>0</v>
          </cell>
          <cell r="K50">
            <v>1.9108280254777101E-2</v>
          </cell>
          <cell r="L50">
            <v>0.49681528662420416</v>
          </cell>
          <cell r="M50">
            <v>0</v>
          </cell>
          <cell r="N50">
            <v>0</v>
          </cell>
        </row>
        <row r="51">
          <cell r="D51">
            <v>2357</v>
          </cell>
          <cell r="E51" t="str">
            <v>Hallam Primary School</v>
          </cell>
          <cell r="G51">
            <v>633</v>
          </cell>
          <cell r="H51">
            <v>3.8461538461538498E-2</v>
          </cell>
          <cell r="I51">
            <v>0</v>
          </cell>
          <cell r="J51">
            <v>0</v>
          </cell>
          <cell r="K51">
            <v>4.8973143759873598E-2</v>
          </cell>
          <cell r="L51">
            <v>1.2733017377567124</v>
          </cell>
          <cell r="M51">
            <v>0</v>
          </cell>
          <cell r="N51">
            <v>0</v>
          </cell>
        </row>
        <row r="52">
          <cell r="D52">
            <v>2050</v>
          </cell>
          <cell r="E52" t="str">
            <v>Hartley Brook Primary School</v>
          </cell>
          <cell r="G52">
            <v>570</v>
          </cell>
          <cell r="H52">
            <v>6.3973063973064001E-2</v>
          </cell>
          <cell r="I52">
            <v>2.3600000000000181</v>
          </cell>
          <cell r="J52">
            <v>2.8000000000000056</v>
          </cell>
          <cell r="K52">
            <v>6.4912280701754393E-2</v>
          </cell>
          <cell r="L52">
            <v>1.014681440443213</v>
          </cell>
          <cell r="M52">
            <v>4.9122807017543957E-3</v>
          </cell>
          <cell r="N52">
            <v>2646.0000000000055</v>
          </cell>
        </row>
        <row r="53">
          <cell r="D53">
            <v>2049</v>
          </cell>
          <cell r="E53" t="str">
            <v>Hatfield Academy</v>
          </cell>
          <cell r="G53">
            <v>374</v>
          </cell>
          <cell r="H53">
            <v>0.13207547169811301</v>
          </cell>
          <cell r="I53">
            <v>26.739999999999927</v>
          </cell>
          <cell r="J53">
            <v>21.559999999999846</v>
          </cell>
          <cell r="K53">
            <v>0.11764705882352899</v>
          </cell>
          <cell r="L53">
            <v>0.89075630252100657</v>
          </cell>
          <cell r="M53">
            <v>5.7647058823528996E-2</v>
          </cell>
          <cell r="N53">
            <v>20374.199999999855</v>
          </cell>
        </row>
        <row r="54">
          <cell r="D54">
            <v>2297</v>
          </cell>
          <cell r="E54" t="str">
            <v>High Green Primary School</v>
          </cell>
          <cell r="G54">
            <v>194</v>
          </cell>
          <cell r="H54">
            <v>3.5175879396984903E-2</v>
          </cell>
          <cell r="I54">
            <v>0</v>
          </cell>
          <cell r="J54">
            <v>0</v>
          </cell>
          <cell r="K54">
            <v>4.1237113402061903E-2</v>
          </cell>
          <cell r="L54">
            <v>1.1723122238586177</v>
          </cell>
          <cell r="M54">
            <v>0</v>
          </cell>
          <cell r="N54">
            <v>0</v>
          </cell>
        </row>
        <row r="55">
          <cell r="D55">
            <v>2042</v>
          </cell>
          <cell r="E55" t="str">
            <v>High Hazels Junior School</v>
          </cell>
          <cell r="G55">
            <v>356</v>
          </cell>
          <cell r="H55">
            <v>4.55840455840456E-2</v>
          </cell>
          <cell r="I55">
            <v>0</v>
          </cell>
          <cell r="J55">
            <v>0.64000000000001256</v>
          </cell>
          <cell r="K55">
            <v>6.1797752808988797E-2</v>
          </cell>
          <cell r="L55">
            <v>1.3556882022471912</v>
          </cell>
          <cell r="M55">
            <v>1.7977528089887992E-3</v>
          </cell>
          <cell r="N55">
            <v>604.80000000001189</v>
          </cell>
        </row>
        <row r="56">
          <cell r="D56">
            <v>2039</v>
          </cell>
          <cell r="E56" t="str">
            <v>High Hazels Nursery Infant Academy</v>
          </cell>
          <cell r="G56">
            <v>248</v>
          </cell>
          <cell r="H56">
            <v>3.9301310043668103E-2</v>
          </cell>
          <cell r="I56">
            <v>0</v>
          </cell>
          <cell r="J56">
            <v>6.2907317073170788</v>
          </cell>
          <cell r="K56">
            <v>8.5365853658536606E-2</v>
          </cell>
          <cell r="L56">
            <v>2.1720867208672101</v>
          </cell>
          <cell r="M56">
            <v>2.5365853658536608E-2</v>
          </cell>
          <cell r="N56">
            <v>5944.7414634146398</v>
          </cell>
        </row>
        <row r="57">
          <cell r="D57">
            <v>2339</v>
          </cell>
          <cell r="E57" t="str">
            <v>Hillsborough Primary School</v>
          </cell>
          <cell r="G57">
            <v>340</v>
          </cell>
          <cell r="H57">
            <v>7.4927953890489896E-2</v>
          </cell>
          <cell r="I57">
            <v>5.1799999999999944</v>
          </cell>
          <cell r="J57">
            <v>4.6737463126843712</v>
          </cell>
          <cell r="K57">
            <v>7.3746312684365795E-2</v>
          </cell>
          <cell r="L57">
            <v>0.984229634672113</v>
          </cell>
          <cell r="M57">
            <v>1.3746312684365797E-2</v>
          </cell>
          <cell r="N57">
            <v>4416.6902654867308</v>
          </cell>
        </row>
        <row r="58">
          <cell r="D58">
            <v>2213</v>
          </cell>
          <cell r="E58" t="str">
            <v>Holt House Infant School</v>
          </cell>
          <cell r="G58">
            <v>179</v>
          </cell>
          <cell r="H58">
            <v>3.91061452513966E-2</v>
          </cell>
          <cell r="I58">
            <v>0</v>
          </cell>
          <cell r="J58">
            <v>0</v>
          </cell>
          <cell r="K58">
            <v>2.7932960893854698E-2</v>
          </cell>
          <cell r="L58">
            <v>0.71428571428571386</v>
          </cell>
          <cell r="M58">
            <v>0</v>
          </cell>
          <cell r="N58">
            <v>0</v>
          </cell>
        </row>
        <row r="59">
          <cell r="D59">
            <v>2337</v>
          </cell>
          <cell r="E59" t="str">
            <v>Hucklow Primary School</v>
          </cell>
          <cell r="G59">
            <v>407</v>
          </cell>
          <cell r="H59">
            <v>4.6116504854368898E-2</v>
          </cell>
          <cell r="I59">
            <v>0</v>
          </cell>
          <cell r="J59">
            <v>0</v>
          </cell>
          <cell r="K59">
            <v>4.4444444444444398E-2</v>
          </cell>
          <cell r="L59">
            <v>0.96374269005847923</v>
          </cell>
          <cell r="M59">
            <v>0</v>
          </cell>
          <cell r="N59">
            <v>0</v>
          </cell>
        </row>
        <row r="60">
          <cell r="D60">
            <v>2060</v>
          </cell>
          <cell r="E60" t="str">
            <v>Hunter's Bar Infant School</v>
          </cell>
          <cell r="G60">
            <v>269</v>
          </cell>
          <cell r="H60">
            <v>2.6217228464419502E-2</v>
          </cell>
          <cell r="I60">
            <v>0</v>
          </cell>
          <cell r="J60">
            <v>0</v>
          </cell>
          <cell r="K60">
            <v>1.11524163568773E-2</v>
          </cell>
          <cell r="L60">
            <v>0.42538502389803373</v>
          </cell>
          <cell r="M60">
            <v>0</v>
          </cell>
          <cell r="N60">
            <v>0</v>
          </cell>
        </row>
        <row r="61">
          <cell r="D61">
            <v>2058</v>
          </cell>
          <cell r="E61" t="str">
            <v>Hunter's Bar Junior School</v>
          </cell>
          <cell r="G61">
            <v>362</v>
          </cell>
          <cell r="H61">
            <v>8.2872928176795594E-3</v>
          </cell>
          <cell r="I61">
            <v>0</v>
          </cell>
          <cell r="J61">
            <v>0</v>
          </cell>
          <cell r="K61">
            <v>5.5248618784530402E-3</v>
          </cell>
          <cell r="L61">
            <v>0.66666666666666674</v>
          </cell>
          <cell r="M61">
            <v>0</v>
          </cell>
          <cell r="N61">
            <v>0</v>
          </cell>
        </row>
        <row r="62">
          <cell r="D62">
            <v>2063</v>
          </cell>
          <cell r="E62" t="str">
            <v>Intake Primary School</v>
          </cell>
          <cell r="G62">
            <v>413</v>
          </cell>
          <cell r="H62">
            <v>2.44498777506112E-2</v>
          </cell>
          <cell r="I62">
            <v>0</v>
          </cell>
          <cell r="J62">
            <v>0</v>
          </cell>
          <cell r="K62">
            <v>3.8740920096852302E-2</v>
          </cell>
          <cell r="L62">
            <v>1.5845036319612622</v>
          </cell>
          <cell r="M62">
            <v>0</v>
          </cell>
          <cell r="N62">
            <v>0</v>
          </cell>
        </row>
        <row r="63">
          <cell r="D63">
            <v>2261</v>
          </cell>
          <cell r="E63" t="str">
            <v>Limpsfield Junior School</v>
          </cell>
          <cell r="G63">
            <v>225</v>
          </cell>
          <cell r="H63">
            <v>3.8297872340425497E-2</v>
          </cell>
          <cell r="I63">
            <v>0</v>
          </cell>
          <cell r="J63">
            <v>0</v>
          </cell>
          <cell r="K63">
            <v>3.5555555555555597E-2</v>
          </cell>
          <cell r="L63">
            <v>0.92839506172839703</v>
          </cell>
          <cell r="M63">
            <v>0</v>
          </cell>
          <cell r="N63">
            <v>0</v>
          </cell>
        </row>
        <row r="64">
          <cell r="D64">
            <v>2315</v>
          </cell>
          <cell r="E64" t="str">
            <v>Lound Infant School</v>
          </cell>
          <cell r="G64">
            <v>148</v>
          </cell>
          <cell r="H64">
            <v>2.06896551724138E-2</v>
          </cell>
          <cell r="I64">
            <v>0</v>
          </cell>
          <cell r="J64">
            <v>0</v>
          </cell>
          <cell r="K64">
            <v>3.37837837837838E-2</v>
          </cell>
          <cell r="L64">
            <v>1.6328828828828832</v>
          </cell>
          <cell r="M64">
            <v>0</v>
          </cell>
          <cell r="N64">
            <v>0</v>
          </cell>
        </row>
        <row r="65">
          <cell r="D65">
            <v>2298</v>
          </cell>
          <cell r="E65" t="str">
            <v>Lound Junior School</v>
          </cell>
          <cell r="G65">
            <v>211</v>
          </cell>
          <cell r="H65">
            <v>2.8708133971291901E-2</v>
          </cell>
          <cell r="I65">
            <v>0</v>
          </cell>
          <cell r="J65">
            <v>0</v>
          </cell>
          <cell r="K65">
            <v>2.3809523809523801E-2</v>
          </cell>
          <cell r="L65">
            <v>0.82936507936507808</v>
          </cell>
          <cell r="M65">
            <v>0</v>
          </cell>
          <cell r="N65">
            <v>0</v>
          </cell>
        </row>
        <row r="66">
          <cell r="D66">
            <v>2029</v>
          </cell>
          <cell r="E66" t="str">
            <v>Lowedges Junior Academy</v>
          </cell>
          <cell r="G66">
            <v>299</v>
          </cell>
          <cell r="H66">
            <v>7.2847682119205295E-2</v>
          </cell>
          <cell r="I66">
            <v>3.88</v>
          </cell>
          <cell r="J66">
            <v>9.0599999999999987</v>
          </cell>
          <cell r="K66">
            <v>9.0301003344481601E-2</v>
          </cell>
          <cell r="L66">
            <v>1.2395865004560656</v>
          </cell>
          <cell r="M66">
            <v>3.0301003344481603E-2</v>
          </cell>
          <cell r="N66">
            <v>8561.6999999999989</v>
          </cell>
        </row>
        <row r="67">
          <cell r="D67">
            <v>2045</v>
          </cell>
          <cell r="E67" t="str">
            <v>Lower Meadow Primary School</v>
          </cell>
          <cell r="G67">
            <v>259</v>
          </cell>
          <cell r="H67">
            <v>0.100806451612903</v>
          </cell>
          <cell r="I67">
            <v>10.160806451612848</v>
          </cell>
          <cell r="J67">
            <v>16.584031007751943</v>
          </cell>
          <cell r="K67">
            <v>0.124031007751938</v>
          </cell>
          <cell r="L67">
            <v>1.2303875968992277</v>
          </cell>
          <cell r="M67">
            <v>6.4031007751937999E-2</v>
          </cell>
          <cell r="N67">
            <v>15671.909302325586</v>
          </cell>
        </row>
        <row r="68">
          <cell r="D68">
            <v>2070</v>
          </cell>
          <cell r="E68" t="str">
            <v>Lowfield Community Primary School</v>
          </cell>
          <cell r="G68">
            <v>379</v>
          </cell>
          <cell r="H68">
            <v>9.3150684931506897E-2</v>
          </cell>
          <cell r="I68">
            <v>12.100000000000017</v>
          </cell>
          <cell r="J68">
            <v>29.26000000000003</v>
          </cell>
          <cell r="K68">
            <v>0.137203166226913</v>
          </cell>
          <cell r="L68">
            <v>1.4729163433183301</v>
          </cell>
          <cell r="M68">
            <v>7.7203166226913006E-2</v>
          </cell>
          <cell r="N68">
            <v>27650.70000000003</v>
          </cell>
        </row>
        <row r="69">
          <cell r="D69">
            <v>2292</v>
          </cell>
          <cell r="E69" t="str">
            <v>Loxley Primary School</v>
          </cell>
          <cell r="G69">
            <v>210</v>
          </cell>
          <cell r="H69">
            <v>9.5693779904306199E-3</v>
          </cell>
          <cell r="I69">
            <v>0</v>
          </cell>
          <cell r="J69">
            <v>0</v>
          </cell>
          <cell r="K69">
            <v>1.4285714285714299E-2</v>
          </cell>
          <cell r="L69">
            <v>1.4928571428571447</v>
          </cell>
          <cell r="M69">
            <v>0</v>
          </cell>
          <cell r="N69">
            <v>0</v>
          </cell>
        </row>
        <row r="70">
          <cell r="D70">
            <v>2072</v>
          </cell>
          <cell r="E70" t="str">
            <v>Lydgate Infant School</v>
          </cell>
          <cell r="G70">
            <v>344</v>
          </cell>
          <cell r="H70">
            <v>1.40449438202247E-2</v>
          </cell>
          <cell r="I70">
            <v>0</v>
          </cell>
          <cell r="J70">
            <v>0</v>
          </cell>
          <cell r="K70">
            <v>1.74418604651163E-2</v>
          </cell>
          <cell r="L70">
            <v>1.2418604651162823</v>
          </cell>
          <cell r="M70">
            <v>0</v>
          </cell>
          <cell r="N70">
            <v>0</v>
          </cell>
        </row>
        <row r="71">
          <cell r="D71">
            <v>2071</v>
          </cell>
          <cell r="E71" t="str">
            <v>Lydgate Junior School</v>
          </cell>
          <cell r="G71">
            <v>479</v>
          </cell>
          <cell r="H71">
            <v>1.8947368421052602E-2</v>
          </cell>
          <cell r="I71">
            <v>0</v>
          </cell>
          <cell r="J71">
            <v>0</v>
          </cell>
          <cell r="K71">
            <v>2.5052192066805801E-2</v>
          </cell>
          <cell r="L71">
            <v>1.322199025748086</v>
          </cell>
          <cell r="M71">
            <v>0</v>
          </cell>
          <cell r="N71">
            <v>0</v>
          </cell>
        </row>
        <row r="72">
          <cell r="D72">
            <v>2358</v>
          </cell>
          <cell r="E72" t="str">
            <v>Malin Bridge Primary School</v>
          </cell>
          <cell r="G72">
            <v>517</v>
          </cell>
          <cell r="H72">
            <v>1.9157088122605401E-2</v>
          </cell>
          <cell r="I72">
            <v>0</v>
          </cell>
          <cell r="J72">
            <v>0</v>
          </cell>
          <cell r="K72">
            <v>2.7079303675048402E-2</v>
          </cell>
          <cell r="L72">
            <v>1.4135396518375238</v>
          </cell>
          <cell r="M72">
            <v>0</v>
          </cell>
          <cell r="N72">
            <v>0</v>
          </cell>
        </row>
        <row r="73">
          <cell r="D73">
            <v>2359</v>
          </cell>
          <cell r="E73" t="str">
            <v>Manor Lodge Community Primary and Nursery School</v>
          </cell>
          <cell r="G73">
            <v>333</v>
          </cell>
          <cell r="H73">
            <v>7.2327044025157203E-2</v>
          </cell>
          <cell r="I73">
            <v>3.9323270440251483</v>
          </cell>
          <cell r="J73">
            <v>8.0200000000000067</v>
          </cell>
          <cell r="K73">
            <v>8.4084084084084104E-2</v>
          </cell>
          <cell r="L73">
            <v>1.1625538582060329</v>
          </cell>
          <cell r="M73">
            <v>2.4084084084084106E-2</v>
          </cell>
          <cell r="N73">
            <v>7578.900000000006</v>
          </cell>
        </row>
        <row r="74">
          <cell r="D74">
            <v>2012</v>
          </cell>
          <cell r="E74" t="str">
            <v>Mansel Primary</v>
          </cell>
          <cell r="G74">
            <v>399</v>
          </cell>
          <cell r="H74">
            <v>8.8311688311688299E-2</v>
          </cell>
          <cell r="I74">
            <v>10.899999999999997</v>
          </cell>
          <cell r="J74">
            <v>14.059999999999988</v>
          </cell>
          <cell r="K74">
            <v>9.5238095238095205E-2</v>
          </cell>
          <cell r="L74">
            <v>1.0784313725490193</v>
          </cell>
          <cell r="M74">
            <v>3.5238095238095207E-2</v>
          </cell>
          <cell r="N74">
            <v>13286.699999999988</v>
          </cell>
        </row>
        <row r="75">
          <cell r="D75">
            <v>2079</v>
          </cell>
          <cell r="E75" t="str">
            <v>Marlcliffe Community Primary School</v>
          </cell>
          <cell r="G75">
            <v>501</v>
          </cell>
          <cell r="H75">
            <v>2.35756385068762E-2</v>
          </cell>
          <cell r="I75">
            <v>0</v>
          </cell>
          <cell r="J75">
            <v>0</v>
          </cell>
          <cell r="K75">
            <v>2.1956087824351302E-2</v>
          </cell>
          <cell r="L75">
            <v>0.93130405854956877</v>
          </cell>
          <cell r="M75">
            <v>0</v>
          </cell>
          <cell r="N75">
            <v>0</v>
          </cell>
        </row>
        <row r="76">
          <cell r="D76">
            <v>2081</v>
          </cell>
          <cell r="E76" t="str">
            <v>Meersbrook Bank Primary School</v>
          </cell>
          <cell r="G76">
            <v>207</v>
          </cell>
          <cell r="H76">
            <v>3.5000000000000003E-2</v>
          </cell>
          <cell r="I76">
            <v>0</v>
          </cell>
          <cell r="J76">
            <v>0</v>
          </cell>
          <cell r="K76">
            <v>5.3140096618357502E-2</v>
          </cell>
          <cell r="L76">
            <v>1.5182884748102141</v>
          </cell>
          <cell r="M76">
            <v>0</v>
          </cell>
          <cell r="N76">
            <v>0</v>
          </cell>
        </row>
        <row r="77">
          <cell r="D77">
            <v>2013</v>
          </cell>
          <cell r="E77" t="str">
            <v>Meynell Community Primary School</v>
          </cell>
          <cell r="G77">
            <v>368</v>
          </cell>
          <cell r="H77">
            <v>9.1666666666666702E-2</v>
          </cell>
          <cell r="I77">
            <v>11.431666666666681</v>
          </cell>
          <cell r="J77">
            <v>9.9199999999999893</v>
          </cell>
          <cell r="K77">
            <v>8.6956521739130405E-2</v>
          </cell>
          <cell r="L77">
            <v>0.94861660079051313</v>
          </cell>
          <cell r="M77">
            <v>2.6956521739130407E-2</v>
          </cell>
          <cell r="N77">
            <v>9374.3999999999905</v>
          </cell>
        </row>
        <row r="78">
          <cell r="D78">
            <v>2346</v>
          </cell>
          <cell r="E78" t="str">
            <v>Monteney Primary School</v>
          </cell>
          <cell r="G78">
            <v>404</v>
          </cell>
          <cell r="H78">
            <v>2.00501253132832E-2</v>
          </cell>
          <cell r="I78">
            <v>0</v>
          </cell>
          <cell r="J78">
            <v>0</v>
          </cell>
          <cell r="K78">
            <v>3.98009950248756E-2</v>
          </cell>
          <cell r="L78">
            <v>1.9850746268656714</v>
          </cell>
          <cell r="M78">
            <v>0</v>
          </cell>
          <cell r="N78">
            <v>0</v>
          </cell>
        </row>
        <row r="79">
          <cell r="D79">
            <v>2257</v>
          </cell>
          <cell r="E79" t="str">
            <v>Mosborough Primary School</v>
          </cell>
          <cell r="G79">
            <v>418</v>
          </cell>
          <cell r="H79">
            <v>4.8780487804877997E-3</v>
          </cell>
          <cell r="I79">
            <v>0</v>
          </cell>
          <cell r="J79">
            <v>0</v>
          </cell>
          <cell r="K79">
            <v>2.1531100478468901E-2</v>
          </cell>
          <cell r="L79">
            <v>4.4138755980861291</v>
          </cell>
          <cell r="M79">
            <v>0</v>
          </cell>
          <cell r="N79">
            <v>0</v>
          </cell>
        </row>
        <row r="80">
          <cell r="D80">
            <v>2092</v>
          </cell>
          <cell r="E80" t="str">
            <v>Mundella Primary School</v>
          </cell>
          <cell r="G80">
            <v>416</v>
          </cell>
          <cell r="H80">
            <v>2.1428571428571401E-2</v>
          </cell>
          <cell r="I80">
            <v>0</v>
          </cell>
          <cell r="J80">
            <v>0</v>
          </cell>
          <cell r="K80">
            <v>1.44230769230769E-2</v>
          </cell>
          <cell r="L80">
            <v>0.6730769230769228</v>
          </cell>
          <cell r="M80">
            <v>0</v>
          </cell>
          <cell r="N80">
            <v>0</v>
          </cell>
        </row>
        <row r="81">
          <cell r="D81">
            <v>2002</v>
          </cell>
          <cell r="E81" t="str">
            <v>Nether Edge Primary School</v>
          </cell>
          <cell r="G81">
            <v>419</v>
          </cell>
          <cell r="H81">
            <v>6.9306930693069299E-2</v>
          </cell>
          <cell r="I81">
            <v>3.7599999999999976</v>
          </cell>
          <cell r="J81">
            <v>4.860000000000019</v>
          </cell>
          <cell r="K81">
            <v>7.1599045346062096E-2</v>
          </cell>
          <cell r="L81">
            <v>1.0330719399931818</v>
          </cell>
          <cell r="M81">
            <v>1.1599045346062098E-2</v>
          </cell>
          <cell r="N81">
            <v>4592.700000000018</v>
          </cell>
        </row>
        <row r="82">
          <cell r="D82">
            <v>2221</v>
          </cell>
          <cell r="E82" t="str">
            <v>Nether Green Infant School</v>
          </cell>
          <cell r="G82">
            <v>223</v>
          </cell>
          <cell r="H82">
            <v>9.4786729857819895E-3</v>
          </cell>
          <cell r="I82">
            <v>0</v>
          </cell>
          <cell r="J82">
            <v>0</v>
          </cell>
          <cell r="K82">
            <v>2.6905829596412599E-2</v>
          </cell>
          <cell r="L82">
            <v>2.8385650224215295</v>
          </cell>
          <cell r="M82">
            <v>0</v>
          </cell>
          <cell r="N82">
            <v>0</v>
          </cell>
        </row>
        <row r="83">
          <cell r="D83">
            <v>2087</v>
          </cell>
          <cell r="E83" t="str">
            <v>Nether Green Junior School</v>
          </cell>
          <cell r="G83">
            <v>377</v>
          </cell>
          <cell r="H83">
            <v>3.6211699164345398E-2</v>
          </cell>
          <cell r="I83">
            <v>0</v>
          </cell>
          <cell r="J83">
            <v>0</v>
          </cell>
          <cell r="K83">
            <v>4.7745358090185701E-2</v>
          </cell>
          <cell r="L83">
            <v>1.3185064272597438</v>
          </cell>
          <cell r="M83">
            <v>0</v>
          </cell>
          <cell r="N83">
            <v>0</v>
          </cell>
        </row>
        <row r="84">
          <cell r="D84">
            <v>2272</v>
          </cell>
          <cell r="E84" t="str">
            <v>Netherthorpe Primary School</v>
          </cell>
          <cell r="G84">
            <v>217</v>
          </cell>
          <cell r="H84">
            <v>9.2682926829268306E-2</v>
          </cell>
          <cell r="I84">
            <v>6.7326829268292716</v>
          </cell>
          <cell r="J84">
            <v>7.9799999999999995</v>
          </cell>
          <cell r="K84">
            <v>9.6774193548387094E-2</v>
          </cell>
          <cell r="L84">
            <v>1.0441426146010184</v>
          </cell>
          <cell r="M84">
            <v>3.6774193548387096E-2</v>
          </cell>
          <cell r="N84">
            <v>7541.0999999999995</v>
          </cell>
        </row>
        <row r="85">
          <cell r="D85">
            <v>2309</v>
          </cell>
          <cell r="E85" t="str">
            <v>Nook Lane Junior School</v>
          </cell>
          <cell r="G85">
            <v>243</v>
          </cell>
          <cell r="H85">
            <v>2.3809523809523801E-2</v>
          </cell>
          <cell r="I85">
            <v>0</v>
          </cell>
          <cell r="J85">
            <v>0</v>
          </cell>
          <cell r="K85">
            <v>8.23045267489712E-3</v>
          </cell>
          <cell r="L85">
            <v>0.34567901234567916</v>
          </cell>
          <cell r="M85">
            <v>0</v>
          </cell>
          <cell r="N85">
            <v>0</v>
          </cell>
        </row>
        <row r="86">
          <cell r="D86">
            <v>2051</v>
          </cell>
          <cell r="E86" t="str">
            <v>Norfolk Community Primary School</v>
          </cell>
          <cell r="G86">
            <v>384</v>
          </cell>
          <cell r="H86">
            <v>0.123711340206186</v>
          </cell>
          <cell r="I86">
            <v>24.720000000000169</v>
          </cell>
          <cell r="J86">
            <v>20.185130890052356</v>
          </cell>
          <cell r="K86">
            <v>0.112565445026178</v>
          </cell>
          <cell r="L86">
            <v>0.90990401396160236</v>
          </cell>
          <cell r="M86">
            <v>5.2565445026178007E-2</v>
          </cell>
          <cell r="N86">
            <v>19074.948691099478</v>
          </cell>
        </row>
        <row r="87">
          <cell r="D87">
            <v>3010</v>
          </cell>
          <cell r="E87" t="str">
            <v>Norton Free Church of England Primary School</v>
          </cell>
          <cell r="G87">
            <v>213</v>
          </cell>
          <cell r="H87">
            <v>2.8708133971291901E-2</v>
          </cell>
          <cell r="I87">
            <v>0</v>
          </cell>
          <cell r="J87">
            <v>0</v>
          </cell>
          <cell r="K87">
            <v>1.4084507042253501E-2</v>
          </cell>
          <cell r="L87">
            <v>0.49061032863849635</v>
          </cell>
          <cell r="M87">
            <v>0</v>
          </cell>
          <cell r="N87">
            <v>0</v>
          </cell>
        </row>
        <row r="88">
          <cell r="D88">
            <v>2018</v>
          </cell>
          <cell r="E88" t="str">
            <v>Oasis Academy Fir Vale</v>
          </cell>
          <cell r="G88">
            <v>407</v>
          </cell>
          <cell r="H88">
            <v>0.18546365914787</v>
          </cell>
          <cell r="I88">
            <v>50.310927318295867</v>
          </cell>
          <cell r="J88">
            <v>38.735172413792924</v>
          </cell>
          <cell r="K88">
            <v>0.15517241379310301</v>
          </cell>
          <cell r="L88">
            <v>0.83667287977632421</v>
          </cell>
          <cell r="M88">
            <v>9.5172413793103011E-2</v>
          </cell>
          <cell r="N88">
            <v>36604.737931034309</v>
          </cell>
        </row>
        <row r="89">
          <cell r="D89">
            <v>2019</v>
          </cell>
          <cell r="E89" t="str">
            <v>Oasis Academy Watermead</v>
          </cell>
          <cell r="G89">
            <v>380</v>
          </cell>
          <cell r="H89">
            <v>9.3333333333333296E-2</v>
          </cell>
          <cell r="I89">
            <v>12.566666666666654</v>
          </cell>
          <cell r="J89">
            <v>11.379894179894164</v>
          </cell>
          <cell r="K89">
            <v>8.99470899470899E-2</v>
          </cell>
          <cell r="L89">
            <v>0.96371882086167793</v>
          </cell>
          <cell r="M89">
            <v>2.9947089947089903E-2</v>
          </cell>
          <cell r="N89">
            <v>10753.999999999985</v>
          </cell>
        </row>
        <row r="90">
          <cell r="D90">
            <v>2313</v>
          </cell>
          <cell r="E90" t="str">
            <v>Oughtibridge Primary School</v>
          </cell>
          <cell r="G90">
            <v>417</v>
          </cell>
          <cell r="H90">
            <v>2.1634615384615401E-2</v>
          </cell>
          <cell r="I90">
            <v>0</v>
          </cell>
          <cell r="J90">
            <v>0</v>
          </cell>
          <cell r="K90">
            <v>2.3980815347721798E-2</v>
          </cell>
          <cell r="L90">
            <v>1.1084465760724733</v>
          </cell>
          <cell r="M90">
            <v>0</v>
          </cell>
          <cell r="N90">
            <v>0</v>
          </cell>
        </row>
        <row r="91">
          <cell r="D91">
            <v>2093</v>
          </cell>
          <cell r="E91" t="str">
            <v>Owler Brook Primary School</v>
          </cell>
          <cell r="G91">
            <v>400</v>
          </cell>
          <cell r="H91">
            <v>4.9868766404199502E-2</v>
          </cell>
          <cell r="I91">
            <v>0</v>
          </cell>
          <cell r="J91">
            <v>12.180904522613078</v>
          </cell>
          <cell r="K91">
            <v>9.0452261306532694E-2</v>
          </cell>
          <cell r="L91">
            <v>1.8138058714625758</v>
          </cell>
          <cell r="M91">
            <v>3.0452261306532696E-2</v>
          </cell>
          <cell r="N91">
            <v>11510.954773869358</v>
          </cell>
        </row>
        <row r="92">
          <cell r="D92">
            <v>3428</v>
          </cell>
          <cell r="E92" t="str">
            <v>Parson Cross Church of England Primary School</v>
          </cell>
          <cell r="G92">
            <v>203</v>
          </cell>
          <cell r="H92">
            <v>4.47761194029851E-2</v>
          </cell>
          <cell r="I92">
            <v>0</v>
          </cell>
          <cell r="J92">
            <v>0</v>
          </cell>
          <cell r="K92">
            <v>5.5555555555555601E-2</v>
          </cell>
          <cell r="L92">
            <v>1.2407407407407411</v>
          </cell>
          <cell r="M92">
            <v>0</v>
          </cell>
          <cell r="N92">
            <v>0</v>
          </cell>
        </row>
        <row r="93">
          <cell r="D93">
            <v>2332</v>
          </cell>
          <cell r="E93" t="str">
            <v>Phillimore Community Primary School</v>
          </cell>
          <cell r="G93">
            <v>388</v>
          </cell>
          <cell r="H93">
            <v>8.7378640776699004E-2</v>
          </cell>
          <cell r="I93">
            <v>11.30737864077669</v>
          </cell>
          <cell r="J93">
            <v>1.7845994832041492</v>
          </cell>
          <cell r="K93">
            <v>6.4599483204134403E-2</v>
          </cell>
          <cell r="L93">
            <v>0.73930519666953842</v>
          </cell>
          <cell r="M93">
            <v>4.5994832041344053E-3</v>
          </cell>
          <cell r="N93">
            <v>1686.4465116279209</v>
          </cell>
        </row>
        <row r="94">
          <cell r="D94">
            <v>3433</v>
          </cell>
          <cell r="E94" t="str">
            <v>Pipworth Community Primary School</v>
          </cell>
          <cell r="G94">
            <v>394</v>
          </cell>
          <cell r="H94">
            <v>0.134146341463415</v>
          </cell>
          <cell r="I94">
            <v>30.400000000000151</v>
          </cell>
          <cell r="J94">
            <v>31.360000000000145</v>
          </cell>
          <cell r="K94">
            <v>0.13959390862944199</v>
          </cell>
          <cell r="L94">
            <v>1.0406091370558375</v>
          </cell>
          <cell r="M94">
            <v>7.959390862944199E-2</v>
          </cell>
          <cell r="N94">
            <v>29635.200000000135</v>
          </cell>
        </row>
        <row r="95">
          <cell r="D95">
            <v>3427</v>
          </cell>
          <cell r="E95" t="str">
            <v>Porter Croft Church of England Primary Academy</v>
          </cell>
          <cell r="G95">
            <v>214</v>
          </cell>
          <cell r="H95">
            <v>4.69483568075117E-2</v>
          </cell>
          <cell r="I95">
            <v>0</v>
          </cell>
          <cell r="J95">
            <v>0</v>
          </cell>
          <cell r="K95">
            <v>2.33644859813084E-2</v>
          </cell>
          <cell r="L95">
            <v>0.4976635514018693</v>
          </cell>
          <cell r="M95">
            <v>0</v>
          </cell>
          <cell r="N95">
            <v>0</v>
          </cell>
        </row>
        <row r="96">
          <cell r="D96">
            <v>2347</v>
          </cell>
          <cell r="E96" t="str">
            <v>Prince Edward Primary School</v>
          </cell>
          <cell r="G96">
            <v>407</v>
          </cell>
          <cell r="H96">
            <v>8.2926829268292701E-2</v>
          </cell>
          <cell r="I96">
            <v>9.4229268292683006</v>
          </cell>
          <cell r="J96">
            <v>2.6465024630541891</v>
          </cell>
          <cell r="K96">
            <v>6.6502463054187194E-2</v>
          </cell>
          <cell r="L96">
            <v>0.80194146624166895</v>
          </cell>
          <cell r="M96">
            <v>6.5024630541871964E-3</v>
          </cell>
          <cell r="N96">
            <v>2500.9448275862087</v>
          </cell>
        </row>
        <row r="97">
          <cell r="D97">
            <v>2366</v>
          </cell>
          <cell r="E97" t="str">
            <v>Pye Bank CofE Primary School</v>
          </cell>
          <cell r="G97">
            <v>423</v>
          </cell>
          <cell r="H97">
            <v>6.8702290076335895E-2</v>
          </cell>
          <cell r="I97">
            <v>3.4200000000000075</v>
          </cell>
          <cell r="J97">
            <v>9.7029383886255864</v>
          </cell>
          <cell r="K97">
            <v>8.2938388625592399E-2</v>
          </cell>
          <cell r="L97">
            <v>1.2072143233280668</v>
          </cell>
          <cell r="M97">
            <v>2.2938388625592401E-2</v>
          </cell>
          <cell r="N97">
            <v>9169.2767772511797</v>
          </cell>
        </row>
        <row r="98">
          <cell r="D98">
            <v>2363</v>
          </cell>
          <cell r="E98" t="str">
            <v>Rainbow Forge Primary Academy</v>
          </cell>
          <cell r="G98">
            <v>297</v>
          </cell>
          <cell r="H98">
            <v>8.3333333333333301E-2</v>
          </cell>
          <cell r="I98">
            <v>6.7199999999999918</v>
          </cell>
          <cell r="J98">
            <v>10.180000000000009</v>
          </cell>
          <cell r="K98">
            <v>9.4276094276094305E-2</v>
          </cell>
          <cell r="L98">
            <v>1.1313131313131322</v>
          </cell>
          <cell r="M98">
            <v>3.4276094276094307E-2</v>
          </cell>
          <cell r="N98">
            <v>9620.1000000000076</v>
          </cell>
        </row>
        <row r="99">
          <cell r="D99">
            <v>2334</v>
          </cell>
          <cell r="E99" t="str">
            <v>Reignhead Primary School</v>
          </cell>
          <cell r="G99">
            <v>244</v>
          </cell>
          <cell r="H99">
            <v>3.4090909090909102E-2</v>
          </cell>
          <cell r="I99">
            <v>0</v>
          </cell>
          <cell r="J99">
            <v>0</v>
          </cell>
          <cell r="K99">
            <v>4.0983606557376998E-2</v>
          </cell>
          <cell r="L99">
            <v>1.2021857923497248</v>
          </cell>
          <cell r="M99">
            <v>0</v>
          </cell>
          <cell r="N99">
            <v>0</v>
          </cell>
        </row>
        <row r="100">
          <cell r="D100">
            <v>2338</v>
          </cell>
          <cell r="E100" t="str">
            <v>Rivelin Primary School</v>
          </cell>
          <cell r="G100">
            <v>351</v>
          </cell>
          <cell r="H100">
            <v>6.3091482649842295E-2</v>
          </cell>
          <cell r="I100">
            <v>0.98309148264985069</v>
          </cell>
          <cell r="J100">
            <v>22.062857142857194</v>
          </cell>
          <cell r="K100">
            <v>0.122857142857143</v>
          </cell>
          <cell r="L100">
            <v>1.9472857142857158</v>
          </cell>
          <cell r="M100">
            <v>6.2857142857143E-2</v>
          </cell>
          <cell r="N100">
            <v>20849.400000000049</v>
          </cell>
        </row>
        <row r="101">
          <cell r="D101">
            <v>2306</v>
          </cell>
          <cell r="E101" t="str">
            <v>Royd Nursery and Infant School</v>
          </cell>
          <cell r="G101">
            <v>122</v>
          </cell>
          <cell r="H101">
            <v>1.5384615384615399E-2</v>
          </cell>
          <cell r="I101">
            <v>0</v>
          </cell>
          <cell r="J101">
            <v>0</v>
          </cell>
          <cell r="K101">
            <v>4.0983606557376998E-2</v>
          </cell>
          <cell r="L101">
            <v>2.6639344262295022</v>
          </cell>
          <cell r="M101">
            <v>0</v>
          </cell>
          <cell r="N101">
            <v>0</v>
          </cell>
        </row>
        <row r="102">
          <cell r="D102">
            <v>3401</v>
          </cell>
          <cell r="E102" t="str">
            <v>Sacred Heart School, A Catholic Voluntary Academy</v>
          </cell>
          <cell r="G102">
            <v>200</v>
          </cell>
          <cell r="H102">
            <v>9.7087378640776708E-3</v>
          </cell>
          <cell r="I102">
            <v>0</v>
          </cell>
          <cell r="J102">
            <v>0</v>
          </cell>
          <cell r="K102">
            <v>3.5000000000000003E-2</v>
          </cell>
          <cell r="L102">
            <v>3.605</v>
          </cell>
          <cell r="M102">
            <v>0</v>
          </cell>
          <cell r="N102">
            <v>0</v>
          </cell>
        </row>
        <row r="103">
          <cell r="D103">
            <v>2369</v>
          </cell>
          <cell r="E103" t="str">
            <v>Sharrow Nursery, Infant and Junior School</v>
          </cell>
          <cell r="G103">
            <v>417</v>
          </cell>
          <cell r="H103">
            <v>4.10628019323672E-2</v>
          </cell>
          <cell r="I103">
            <v>0</v>
          </cell>
          <cell r="J103">
            <v>0</v>
          </cell>
          <cell r="K103">
            <v>4.0767386091127102E-2</v>
          </cell>
          <cell r="L103">
            <v>0.99280575539568228</v>
          </cell>
          <cell r="M103">
            <v>0</v>
          </cell>
          <cell r="N103">
            <v>0</v>
          </cell>
        </row>
        <row r="104">
          <cell r="D104">
            <v>2349</v>
          </cell>
          <cell r="E104" t="str">
            <v>Shooter's Grove Primary School</v>
          </cell>
          <cell r="G104">
            <v>359</v>
          </cell>
          <cell r="H104">
            <v>3.6723163841807897E-2</v>
          </cell>
          <cell r="I104">
            <v>0</v>
          </cell>
          <cell r="J104">
            <v>0</v>
          </cell>
          <cell r="K104">
            <v>2.5069637883008401E-2</v>
          </cell>
          <cell r="L104">
            <v>0.68266552389115209</v>
          </cell>
          <cell r="M104">
            <v>0</v>
          </cell>
          <cell r="N104">
            <v>0</v>
          </cell>
        </row>
        <row r="105">
          <cell r="D105">
            <v>2360</v>
          </cell>
          <cell r="E105" t="str">
            <v>Shortbrook Primary School</v>
          </cell>
          <cell r="G105">
            <v>84</v>
          </cell>
          <cell r="H105">
            <v>0.11363636363636399</v>
          </cell>
          <cell r="I105">
            <v>4.7200000000000317</v>
          </cell>
          <cell r="J105">
            <v>3.959999999999988</v>
          </cell>
          <cell r="K105">
            <v>0.107142857142857</v>
          </cell>
          <cell r="L105">
            <v>0.94285714285713862</v>
          </cell>
          <cell r="M105">
            <v>4.7142857142857E-2</v>
          </cell>
          <cell r="N105">
            <v>3742.1999999999884</v>
          </cell>
        </row>
        <row r="106">
          <cell r="D106">
            <v>2009</v>
          </cell>
          <cell r="E106" t="str">
            <v>Southey Green Primary School and Nurseries</v>
          </cell>
          <cell r="G106">
            <v>611</v>
          </cell>
          <cell r="H106">
            <v>7.9338842975206603E-2</v>
          </cell>
          <cell r="I106">
            <v>11.699999999999996</v>
          </cell>
          <cell r="J106">
            <v>4.3399999999999768</v>
          </cell>
          <cell r="K106">
            <v>6.7103109656301105E-2</v>
          </cell>
          <cell r="L106">
            <v>0.84577877795962864</v>
          </cell>
          <cell r="M106">
            <v>7.103109656301107E-3</v>
          </cell>
          <cell r="N106">
            <v>4101.2999999999784</v>
          </cell>
        </row>
        <row r="107">
          <cell r="D107">
            <v>2329</v>
          </cell>
          <cell r="E107" t="str">
            <v>Springfield Primary School</v>
          </cell>
          <cell r="G107">
            <v>208</v>
          </cell>
          <cell r="H107">
            <v>0.105263157894737</v>
          </cell>
          <cell r="I107">
            <v>9.4600000000000346</v>
          </cell>
          <cell r="J107">
            <v>9.5200000000000493</v>
          </cell>
          <cell r="K107">
            <v>0.105769230769231</v>
          </cell>
          <cell r="L107">
            <v>1.004807692307693</v>
          </cell>
          <cell r="M107">
            <v>4.5769230769231006E-2</v>
          </cell>
          <cell r="N107">
            <v>8996.4000000000469</v>
          </cell>
        </row>
        <row r="108">
          <cell r="D108">
            <v>5202</v>
          </cell>
          <cell r="E108" t="str">
            <v>St Ann's Catholic Primary School, A Voluntary Academy</v>
          </cell>
          <cell r="G108">
            <v>99</v>
          </cell>
          <cell r="H108">
            <v>3.2608695652173898E-2</v>
          </cell>
          <cell r="I108">
            <v>0</v>
          </cell>
          <cell r="J108">
            <v>1.06</v>
          </cell>
          <cell r="K108">
            <v>7.0707070707070704E-2</v>
          </cell>
          <cell r="L108">
            <v>2.1683501683501691</v>
          </cell>
          <cell r="M108">
            <v>1.0707070707070707E-2</v>
          </cell>
          <cell r="N108">
            <v>1001.7</v>
          </cell>
        </row>
        <row r="109">
          <cell r="D109">
            <v>3402</v>
          </cell>
          <cell r="E109" t="str">
            <v>St Catherine's Catholic Primary School (Hallam)</v>
          </cell>
          <cell r="G109">
            <v>421</v>
          </cell>
          <cell r="H109">
            <v>9.4786729857819895E-3</v>
          </cell>
          <cell r="I109">
            <v>0</v>
          </cell>
          <cell r="J109">
            <v>0</v>
          </cell>
          <cell r="K109">
            <v>2.1377672209026099E-2</v>
          </cell>
          <cell r="L109">
            <v>2.2553444180522537</v>
          </cell>
          <cell r="M109">
            <v>0</v>
          </cell>
          <cell r="N109">
            <v>0</v>
          </cell>
        </row>
        <row r="110">
          <cell r="D110">
            <v>2017</v>
          </cell>
          <cell r="E110" t="str">
            <v>St John Fisher Primary, A Catholic Voluntary Academy</v>
          </cell>
          <cell r="G110">
            <v>208</v>
          </cell>
          <cell r="H110">
            <v>3.8095238095238099E-2</v>
          </cell>
          <cell r="I110">
            <v>0</v>
          </cell>
          <cell r="J110">
            <v>0</v>
          </cell>
          <cell r="K110">
            <v>3.3653846153846201E-2</v>
          </cell>
          <cell r="L110">
            <v>0.88341346153846267</v>
          </cell>
          <cell r="M110">
            <v>0</v>
          </cell>
          <cell r="N110">
            <v>0</v>
          </cell>
        </row>
        <row r="111">
          <cell r="D111">
            <v>5203</v>
          </cell>
          <cell r="E111" t="str">
            <v>St Joseph's Primary School</v>
          </cell>
          <cell r="G111">
            <v>207</v>
          </cell>
          <cell r="H111">
            <v>1.4705882352941201E-2</v>
          </cell>
          <cell r="I111">
            <v>0</v>
          </cell>
          <cell r="J111">
            <v>0</v>
          </cell>
          <cell r="K111">
            <v>4.8309178743961401E-2</v>
          </cell>
          <cell r="L111">
            <v>3.2850241545893697</v>
          </cell>
          <cell r="M111">
            <v>0</v>
          </cell>
          <cell r="N111">
            <v>0</v>
          </cell>
        </row>
        <row r="112">
          <cell r="D112">
            <v>3406</v>
          </cell>
          <cell r="E112" t="str">
            <v>St Marie's School, A Catholic Voluntary Academy</v>
          </cell>
          <cell r="G112">
            <v>216</v>
          </cell>
          <cell r="H112">
            <v>2.76497695852535E-2</v>
          </cell>
          <cell r="I112">
            <v>0</v>
          </cell>
          <cell r="J112">
            <v>0</v>
          </cell>
          <cell r="K112">
            <v>2.3148148148148098E-2</v>
          </cell>
          <cell r="L112">
            <v>0.83719135802468825</v>
          </cell>
          <cell r="M112">
            <v>0</v>
          </cell>
          <cell r="N112">
            <v>0</v>
          </cell>
        </row>
        <row r="113">
          <cell r="D113">
            <v>2020</v>
          </cell>
          <cell r="E113" t="str">
            <v>St Mary's Church of England Primary School</v>
          </cell>
          <cell r="G113">
            <v>204</v>
          </cell>
          <cell r="H113">
            <v>0.15228426395939099</v>
          </cell>
          <cell r="I113">
            <v>18.180000000000025</v>
          </cell>
          <cell r="J113">
            <v>10.760000000000064</v>
          </cell>
          <cell r="K113">
            <v>0.11274509803921599</v>
          </cell>
          <cell r="L113">
            <v>0.74035947712418437</v>
          </cell>
          <cell r="M113">
            <v>5.2745098039215996E-2</v>
          </cell>
          <cell r="N113">
            <v>10168.200000000061</v>
          </cell>
        </row>
        <row r="114">
          <cell r="D114">
            <v>3423</v>
          </cell>
          <cell r="E114" t="str">
            <v>St Mary's Primary School, A Catholic Voluntary Academy</v>
          </cell>
          <cell r="G114">
            <v>176</v>
          </cell>
          <cell r="H114">
            <v>2.6595744680851099E-2</v>
          </cell>
          <cell r="I114">
            <v>0</v>
          </cell>
          <cell r="J114">
            <v>0</v>
          </cell>
          <cell r="K114">
            <v>2.27272727272727E-2</v>
          </cell>
          <cell r="L114">
            <v>0.85454545454545239</v>
          </cell>
          <cell r="M114">
            <v>0</v>
          </cell>
          <cell r="N114">
            <v>0</v>
          </cell>
        </row>
        <row r="115">
          <cell r="D115">
            <v>5207</v>
          </cell>
          <cell r="E115" t="str">
            <v>St Patrick's Catholic Voluntary Academy</v>
          </cell>
          <cell r="G115">
            <v>279</v>
          </cell>
          <cell r="H115">
            <v>2.8673835125448001E-2</v>
          </cell>
          <cell r="I115">
            <v>0</v>
          </cell>
          <cell r="J115">
            <v>0</v>
          </cell>
          <cell r="K115">
            <v>1.7921146953405E-2</v>
          </cell>
          <cell r="L115">
            <v>0.625</v>
          </cell>
          <cell r="M115">
            <v>0</v>
          </cell>
          <cell r="N115">
            <v>0</v>
          </cell>
        </row>
        <row r="116">
          <cell r="D116">
            <v>5208</v>
          </cell>
          <cell r="E116" t="str">
            <v>St Theresa's Catholic Primary School</v>
          </cell>
          <cell r="G116">
            <v>207</v>
          </cell>
          <cell r="H116">
            <v>1.9323671497584499E-2</v>
          </cell>
          <cell r="I116">
            <v>0</v>
          </cell>
          <cell r="J116">
            <v>0</v>
          </cell>
          <cell r="K116">
            <v>1.9323671497584499E-2</v>
          </cell>
          <cell r="L116">
            <v>1</v>
          </cell>
          <cell r="M116">
            <v>0</v>
          </cell>
          <cell r="N116">
            <v>0</v>
          </cell>
        </row>
        <row r="117">
          <cell r="D117">
            <v>3424</v>
          </cell>
          <cell r="E117" t="str">
            <v>St Thomas More Catholic Primary, A Voluntary Academy</v>
          </cell>
          <cell r="G117">
            <v>208</v>
          </cell>
          <cell r="H117">
            <v>1.9138755980861202E-2</v>
          </cell>
          <cell r="I117">
            <v>0</v>
          </cell>
          <cell r="J117">
            <v>0</v>
          </cell>
          <cell r="K117">
            <v>3.3653846153846201E-2</v>
          </cell>
          <cell r="L117">
            <v>1.7584134615384679</v>
          </cell>
          <cell r="M117">
            <v>0</v>
          </cell>
          <cell r="N117">
            <v>0</v>
          </cell>
        </row>
        <row r="118">
          <cell r="D118">
            <v>3414</v>
          </cell>
          <cell r="E118" t="str">
            <v>St Thomas of Canterbury School, a Catholic Voluntary Academy</v>
          </cell>
          <cell r="G118">
            <v>210</v>
          </cell>
          <cell r="H118">
            <v>1.4218009478673001E-2</v>
          </cell>
          <cell r="I118">
            <v>0</v>
          </cell>
          <cell r="J118">
            <v>0</v>
          </cell>
          <cell r="K118">
            <v>9.5238095238095195E-3</v>
          </cell>
          <cell r="L118">
            <v>0.66984126984126879</v>
          </cell>
          <cell r="M118">
            <v>0</v>
          </cell>
          <cell r="N118">
            <v>0</v>
          </cell>
        </row>
        <row r="119">
          <cell r="D119">
            <v>3412</v>
          </cell>
          <cell r="E119" t="str">
            <v>St Wilfrid's Catholic Primary School</v>
          </cell>
          <cell r="G119">
            <v>297</v>
          </cell>
          <cell r="H119">
            <v>3.2573289902280101E-3</v>
          </cell>
          <cell r="I119">
            <v>0</v>
          </cell>
          <cell r="J119">
            <v>0</v>
          </cell>
          <cell r="K119">
            <v>2.3569023569023601E-2</v>
          </cell>
          <cell r="L119">
            <v>7.2356902356902522</v>
          </cell>
          <cell r="M119">
            <v>0</v>
          </cell>
          <cell r="N119">
            <v>0</v>
          </cell>
        </row>
        <row r="120">
          <cell r="D120">
            <v>2294</v>
          </cell>
          <cell r="E120" t="str">
            <v>Stannington Infant School</v>
          </cell>
          <cell r="G120">
            <v>181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 t="e">
            <v>#DIV/0!</v>
          </cell>
          <cell r="M120">
            <v>0</v>
          </cell>
          <cell r="N120">
            <v>0</v>
          </cell>
        </row>
        <row r="121">
          <cell r="D121">
            <v>2303</v>
          </cell>
          <cell r="E121" t="str">
            <v>Stocksbridge Junior School</v>
          </cell>
          <cell r="G121">
            <v>295</v>
          </cell>
          <cell r="H121">
            <v>3.2467532467532499E-2</v>
          </cell>
          <cell r="I121">
            <v>0</v>
          </cell>
          <cell r="J121">
            <v>0</v>
          </cell>
          <cell r="K121">
            <v>4.4067796610169498E-2</v>
          </cell>
          <cell r="L121">
            <v>1.3572881355932191</v>
          </cell>
          <cell r="M121">
            <v>0</v>
          </cell>
          <cell r="N121">
            <v>0</v>
          </cell>
        </row>
        <row r="122">
          <cell r="D122">
            <v>2302</v>
          </cell>
          <cell r="E122" t="str">
            <v>Stocksbridge Nursery Infant School</v>
          </cell>
          <cell r="G122">
            <v>198</v>
          </cell>
          <cell r="H122">
            <v>1.03092783505155E-2</v>
          </cell>
          <cell r="I122">
            <v>0</v>
          </cell>
          <cell r="J122">
            <v>0</v>
          </cell>
          <cell r="K122">
            <v>5.0505050505050501E-3</v>
          </cell>
          <cell r="L122">
            <v>0.48989898989898811</v>
          </cell>
          <cell r="M122">
            <v>0</v>
          </cell>
          <cell r="N122">
            <v>0</v>
          </cell>
        </row>
        <row r="123">
          <cell r="D123">
            <v>2350</v>
          </cell>
          <cell r="E123" t="str">
            <v>Stradbroke Primary School</v>
          </cell>
          <cell r="G123">
            <v>411</v>
          </cell>
          <cell r="H123">
            <v>4.3689320388349502E-2</v>
          </cell>
          <cell r="I123">
            <v>0</v>
          </cell>
          <cell r="J123">
            <v>0</v>
          </cell>
          <cell r="K123">
            <v>3.8929440389294398E-2</v>
          </cell>
          <cell r="L123">
            <v>0.89105163557718314</v>
          </cell>
          <cell r="M123">
            <v>0</v>
          </cell>
          <cell r="N123">
            <v>0</v>
          </cell>
        </row>
        <row r="124">
          <cell r="D124">
            <v>2230</v>
          </cell>
          <cell r="E124" t="str">
            <v>Tinsley Meadows Primary School</v>
          </cell>
          <cell r="G124">
            <v>545</v>
          </cell>
          <cell r="H124">
            <v>8.6556169429097607E-2</v>
          </cell>
          <cell r="I124">
            <v>14.420000000000002</v>
          </cell>
          <cell r="J124">
            <v>17.300000000000033</v>
          </cell>
          <cell r="K124">
            <v>9.1743119266055106E-2</v>
          </cell>
          <cell r="L124">
            <v>1.0599258247120835</v>
          </cell>
          <cell r="M124">
            <v>3.1743119266055109E-2</v>
          </cell>
          <cell r="N124">
            <v>16348.500000000031</v>
          </cell>
        </row>
        <row r="125">
          <cell r="D125">
            <v>5206</v>
          </cell>
          <cell r="E125" t="str">
            <v>Totley All Saints Church of England Voluntary Aided Primary School</v>
          </cell>
          <cell r="G125">
            <v>211</v>
          </cell>
          <cell r="H125">
            <v>2.33644859813084E-2</v>
          </cell>
          <cell r="I125">
            <v>0</v>
          </cell>
          <cell r="J125">
            <v>0</v>
          </cell>
          <cell r="K125">
            <v>2.3696682464454999E-2</v>
          </cell>
          <cell r="L125">
            <v>1.0142180094786744</v>
          </cell>
          <cell r="M125">
            <v>0</v>
          </cell>
          <cell r="N125">
            <v>0</v>
          </cell>
        </row>
        <row r="126">
          <cell r="D126">
            <v>2203</v>
          </cell>
          <cell r="E126" t="str">
            <v>Totley Primary School</v>
          </cell>
          <cell r="G126">
            <v>423</v>
          </cell>
          <cell r="H126">
            <v>2.5062656641604002E-2</v>
          </cell>
          <cell r="I126">
            <v>0</v>
          </cell>
          <cell r="J126">
            <v>0</v>
          </cell>
          <cell r="K126">
            <v>1.8912529550827398E-2</v>
          </cell>
          <cell r="L126">
            <v>0.7546099290780135</v>
          </cell>
          <cell r="M126">
            <v>0</v>
          </cell>
          <cell r="N126">
            <v>0</v>
          </cell>
        </row>
        <row r="127">
          <cell r="D127">
            <v>2351</v>
          </cell>
          <cell r="E127" t="str">
            <v>Walkley Primary School</v>
          </cell>
          <cell r="G127">
            <v>377</v>
          </cell>
          <cell r="H127">
            <v>6.3768115942028997E-2</v>
          </cell>
          <cell r="I127">
            <v>1.3000000000000047</v>
          </cell>
          <cell r="J127">
            <v>7.3799999999999892</v>
          </cell>
          <cell r="K127">
            <v>7.9575596816976096E-2</v>
          </cell>
          <cell r="L127">
            <v>1.2478900409934885</v>
          </cell>
          <cell r="M127">
            <v>1.9575596816976099E-2</v>
          </cell>
          <cell r="N127">
            <v>6974.0999999999894</v>
          </cell>
        </row>
        <row r="128">
          <cell r="D128">
            <v>3432</v>
          </cell>
          <cell r="E128" t="str">
            <v>Watercliffe Meadow Community Primary School</v>
          </cell>
          <cell r="G128">
            <v>417</v>
          </cell>
          <cell r="H128">
            <v>3.4653465346534698E-2</v>
          </cell>
          <cell r="I128">
            <v>0</v>
          </cell>
          <cell r="J128">
            <v>0</v>
          </cell>
          <cell r="K128">
            <v>5.5690072639225201E-2</v>
          </cell>
          <cell r="L128">
            <v>1.6070563818747823</v>
          </cell>
          <cell r="M128">
            <v>0</v>
          </cell>
          <cell r="N128">
            <v>0</v>
          </cell>
        </row>
        <row r="129">
          <cell r="D129">
            <v>2319</v>
          </cell>
          <cell r="E129" t="str">
            <v>Waterthorpe Infant School</v>
          </cell>
          <cell r="G129">
            <v>134</v>
          </cell>
          <cell r="H129">
            <v>1.6129032258064498E-2</v>
          </cell>
          <cell r="I129">
            <v>0</v>
          </cell>
          <cell r="J129">
            <v>0</v>
          </cell>
          <cell r="K129">
            <v>2.9850746268656699E-2</v>
          </cell>
          <cell r="L129">
            <v>1.8507462686567173</v>
          </cell>
          <cell r="M129">
            <v>0</v>
          </cell>
          <cell r="N129">
            <v>0</v>
          </cell>
        </row>
        <row r="130">
          <cell r="D130">
            <v>2352</v>
          </cell>
          <cell r="E130" t="str">
            <v>Westways Primary School</v>
          </cell>
          <cell r="G130">
            <v>580</v>
          </cell>
          <cell r="H130">
            <v>8.7412587412587395E-2</v>
          </cell>
          <cell r="I130">
            <v>15.679999999999991</v>
          </cell>
          <cell r="J130">
            <v>20.199999999999974</v>
          </cell>
          <cell r="K130">
            <v>9.4827586206896505E-2</v>
          </cell>
          <cell r="L130">
            <v>1.0848275862068963</v>
          </cell>
          <cell r="M130">
            <v>3.4827586206896508E-2</v>
          </cell>
          <cell r="N130">
            <v>19088.999999999975</v>
          </cell>
        </row>
        <row r="131">
          <cell r="D131">
            <v>2311</v>
          </cell>
          <cell r="E131" t="str">
            <v>Wharncliffe Side Primary School</v>
          </cell>
          <cell r="G131">
            <v>142</v>
          </cell>
          <cell r="H131">
            <v>5.6737588652482303E-2</v>
          </cell>
          <cell r="I131">
            <v>0</v>
          </cell>
          <cell r="J131">
            <v>0</v>
          </cell>
          <cell r="K131">
            <v>4.92957746478873E-2</v>
          </cell>
          <cell r="L131">
            <v>0.86883802816901312</v>
          </cell>
          <cell r="M131">
            <v>0</v>
          </cell>
          <cell r="N131">
            <v>0</v>
          </cell>
        </row>
        <row r="132">
          <cell r="D132">
            <v>2040</v>
          </cell>
          <cell r="E132" t="str">
            <v>Whiteways Primary School</v>
          </cell>
          <cell r="G132">
            <v>406</v>
          </cell>
          <cell r="H132">
            <v>7.0000000000000007E-2</v>
          </cell>
          <cell r="I132">
            <v>4.0800000000000036</v>
          </cell>
          <cell r="J132">
            <v>25.624924623115486</v>
          </cell>
          <cell r="K132">
            <v>0.12311557788944701</v>
          </cell>
          <cell r="L132">
            <v>1.7587939698492427</v>
          </cell>
          <cell r="M132">
            <v>6.3115577889447008E-2</v>
          </cell>
          <cell r="N132">
            <v>24215.553768844136</v>
          </cell>
        </row>
        <row r="133">
          <cell r="D133">
            <v>2027</v>
          </cell>
          <cell r="E133" t="str">
            <v>Wincobank Nursery and Infant School</v>
          </cell>
          <cell r="G133">
            <v>137</v>
          </cell>
          <cell r="H133">
            <v>7.3770491803278701E-2</v>
          </cell>
          <cell r="I133">
            <v>1.6800000000000017</v>
          </cell>
          <cell r="J133">
            <v>0</v>
          </cell>
          <cell r="K133">
            <v>5.8394160583941597E-2</v>
          </cell>
          <cell r="L133">
            <v>0.79156528791565262</v>
          </cell>
          <cell r="M133">
            <v>0</v>
          </cell>
          <cell r="N133">
            <v>0</v>
          </cell>
        </row>
        <row r="134">
          <cell r="D134">
            <v>2361</v>
          </cell>
          <cell r="E134" t="str">
            <v>Windmill Hill Primary School</v>
          </cell>
          <cell r="G134">
            <v>315</v>
          </cell>
          <cell r="H134">
            <v>2.8391167192429002E-2</v>
          </cell>
          <cell r="I134">
            <v>0</v>
          </cell>
          <cell r="J134">
            <v>0</v>
          </cell>
          <cell r="K134">
            <v>3.1746031746031703E-2</v>
          </cell>
          <cell r="L134">
            <v>1.1181657848324509</v>
          </cell>
          <cell r="M134">
            <v>0</v>
          </cell>
          <cell r="N134">
            <v>0</v>
          </cell>
        </row>
        <row r="135">
          <cell r="D135">
            <v>2043</v>
          </cell>
          <cell r="E135" t="str">
            <v>Wisewood Community Primary School</v>
          </cell>
          <cell r="G135">
            <v>156</v>
          </cell>
          <cell r="H135">
            <v>8.4967320261437898E-2</v>
          </cell>
          <cell r="I135">
            <v>3.819999999999999</v>
          </cell>
          <cell r="J135">
            <v>2.6399999999999966</v>
          </cell>
          <cell r="K135">
            <v>7.69230769230769E-2</v>
          </cell>
          <cell r="L135">
            <v>0.9053254437869821</v>
          </cell>
          <cell r="M135">
            <v>1.6923076923076902E-2</v>
          </cell>
          <cell r="N135">
            <v>2494.7999999999965</v>
          </cell>
        </row>
        <row r="136">
          <cell r="D136">
            <v>2139</v>
          </cell>
          <cell r="E136" t="str">
            <v>Woodhouse West Primary School</v>
          </cell>
          <cell r="G136">
            <v>360</v>
          </cell>
          <cell r="H136">
            <v>0.102040816326531</v>
          </cell>
          <cell r="I136">
            <v>14.420000000000135</v>
          </cell>
          <cell r="J136">
            <v>10.400000000000007</v>
          </cell>
          <cell r="K136">
            <v>8.8888888888888906E-2</v>
          </cell>
          <cell r="L136">
            <v>0.87111111111110795</v>
          </cell>
          <cell r="M136">
            <v>2.8888888888888908E-2</v>
          </cell>
          <cell r="N136">
            <v>9828.0000000000073</v>
          </cell>
        </row>
        <row r="137">
          <cell r="D137">
            <v>2034</v>
          </cell>
          <cell r="E137" t="str">
            <v>Woodlands Primary School</v>
          </cell>
          <cell r="G137">
            <v>395</v>
          </cell>
          <cell r="H137">
            <v>7.6487252124645896E-2</v>
          </cell>
          <cell r="I137">
            <v>5.8364872521246483</v>
          </cell>
          <cell r="J137">
            <v>18.406598984771733</v>
          </cell>
          <cell r="K137">
            <v>0.10659898477157401</v>
          </cell>
          <cell r="L137">
            <v>1.3936830231246526</v>
          </cell>
          <cell r="M137">
            <v>4.6598984771574009E-2</v>
          </cell>
          <cell r="N137">
            <v>17394.236040609288</v>
          </cell>
        </row>
        <row r="138">
          <cell r="D138">
            <v>2324</v>
          </cell>
          <cell r="E138" t="str">
            <v>Woodseats Primary School</v>
          </cell>
          <cell r="G138">
            <v>363</v>
          </cell>
          <cell r="H138">
            <v>5.06666666666667E-2</v>
          </cell>
          <cell r="I138">
            <v>0</v>
          </cell>
          <cell r="J138">
            <v>4.3640443213296631</v>
          </cell>
          <cell r="K138">
            <v>7.2022160664820006E-2</v>
          </cell>
          <cell r="L138">
            <v>1.4214900131214465</v>
          </cell>
          <cell r="M138">
            <v>1.2022160664820009E-2</v>
          </cell>
          <cell r="N138">
            <v>4124.0218836565318</v>
          </cell>
        </row>
        <row r="139">
          <cell r="D139">
            <v>2327</v>
          </cell>
          <cell r="E139" t="str">
            <v>Woodthorpe Primary School</v>
          </cell>
          <cell r="G139">
            <v>406</v>
          </cell>
          <cell r="H139">
            <v>3.7878787878787901E-2</v>
          </cell>
          <cell r="I139">
            <v>0</v>
          </cell>
          <cell r="J139">
            <v>0</v>
          </cell>
          <cell r="K139">
            <v>4.9261083743842402E-2</v>
          </cell>
          <cell r="L139">
            <v>1.3004926108374386</v>
          </cell>
          <cell r="M139">
            <v>0</v>
          </cell>
          <cell r="N139">
            <v>0</v>
          </cell>
        </row>
        <row r="140">
          <cell r="D140">
            <v>2321</v>
          </cell>
          <cell r="E140" t="str">
            <v>Wybourn Community Primary &amp; Nursery School</v>
          </cell>
          <cell r="G140">
            <v>424</v>
          </cell>
          <cell r="H140">
            <v>3.1476997578692503E-2</v>
          </cell>
          <cell r="I140">
            <v>0</v>
          </cell>
          <cell r="J140">
            <v>0</v>
          </cell>
          <cell r="K140">
            <v>3.3018867924528301E-2</v>
          </cell>
          <cell r="L140">
            <v>1.0489840348330912</v>
          </cell>
          <cell r="M140">
            <v>0</v>
          </cell>
          <cell r="N140">
            <v>0</v>
          </cell>
        </row>
        <row r="141">
          <cell r="D141">
            <v>0</v>
          </cell>
          <cell r="E141">
            <v>0</v>
          </cell>
          <cell r="I141">
            <v>0</v>
          </cell>
        </row>
        <row r="142">
          <cell r="D142">
            <v>0</v>
          </cell>
          <cell r="E142" t="str">
            <v>Total Primary</v>
          </cell>
          <cell r="G142">
            <v>43411</v>
          </cell>
          <cell r="I142">
            <v>0</v>
          </cell>
          <cell r="J142">
            <v>585.41790980935684</v>
          </cell>
          <cell r="M142">
            <v>1.3485473953821769E-2</v>
          </cell>
          <cell r="N142">
            <v>553219.92476984242</v>
          </cell>
        </row>
        <row r="143">
          <cell r="D143">
            <v>0</v>
          </cell>
          <cell r="E143">
            <v>0</v>
          </cell>
          <cell r="I143">
            <v>0</v>
          </cell>
        </row>
        <row r="144">
          <cell r="D144">
            <v>0</v>
          </cell>
          <cell r="E144" t="str">
            <v>Secondary</v>
          </cell>
          <cell r="I144">
            <v>0</v>
          </cell>
        </row>
        <row r="145">
          <cell r="D145">
            <v>0</v>
          </cell>
          <cell r="E145">
            <v>0</v>
          </cell>
          <cell r="I145">
            <v>0</v>
          </cell>
          <cell r="K145">
            <v>52</v>
          </cell>
        </row>
        <row r="146">
          <cell r="D146">
            <v>5401</v>
          </cell>
          <cell r="E146" t="str">
            <v>All Saints' Catholic High School</v>
          </cell>
          <cell r="G146">
            <v>1034</v>
          </cell>
          <cell r="H146">
            <v>2.4509803921568599E-2</v>
          </cell>
          <cell r="I146">
            <v>0</v>
          </cell>
          <cell r="J146">
            <v>0</v>
          </cell>
          <cell r="K146">
            <v>2.5218234723569301E-2</v>
          </cell>
          <cell r="L146">
            <v>1.0289039767216286</v>
          </cell>
          <cell r="M146">
            <v>0</v>
          </cell>
          <cell r="N146">
            <v>0</v>
          </cell>
        </row>
        <row r="147">
          <cell r="D147">
            <v>4017</v>
          </cell>
          <cell r="E147" t="str">
            <v>Bradfield School</v>
          </cell>
          <cell r="G147">
            <v>1065</v>
          </cell>
          <cell r="H147">
            <v>2.2242817423540302E-2</v>
          </cell>
          <cell r="I147">
            <v>0</v>
          </cell>
          <cell r="J147">
            <v>0</v>
          </cell>
          <cell r="K147">
            <v>1.7857142857142901E-2</v>
          </cell>
          <cell r="L147">
            <v>0.80282738095238337</v>
          </cell>
          <cell r="M147">
            <v>0</v>
          </cell>
          <cell r="N147">
            <v>0</v>
          </cell>
        </row>
        <row r="148">
          <cell r="D148">
            <v>4000</v>
          </cell>
          <cell r="E148" t="str">
            <v>Chaucer School</v>
          </cell>
          <cell r="G148">
            <v>842</v>
          </cell>
          <cell r="H148">
            <v>2.69277845777234E-2</v>
          </cell>
          <cell r="I148">
            <v>0</v>
          </cell>
          <cell r="J148">
            <v>0</v>
          </cell>
          <cell r="K148">
            <v>4.5508982035928097E-2</v>
          </cell>
          <cell r="L148">
            <v>1.6900381056069649</v>
          </cell>
          <cell r="M148">
            <v>0</v>
          </cell>
          <cell r="N148">
            <v>0</v>
          </cell>
        </row>
        <row r="149">
          <cell r="D149">
            <v>4012</v>
          </cell>
          <cell r="E149" t="str">
            <v>Ecclesfield School</v>
          </cell>
          <cell r="G149">
            <v>1701</v>
          </cell>
          <cell r="H149">
            <v>1.8540669856459299E-2</v>
          </cell>
          <cell r="I149">
            <v>0</v>
          </cell>
          <cell r="J149">
            <v>0</v>
          </cell>
          <cell r="K149">
            <v>2.1226415094339601E-2</v>
          </cell>
          <cell r="L149">
            <v>1.1448569689592216</v>
          </cell>
          <cell r="M149">
            <v>0</v>
          </cell>
          <cell r="N149">
            <v>0</v>
          </cell>
        </row>
        <row r="150">
          <cell r="D150">
            <v>4280</v>
          </cell>
          <cell r="E150" t="str">
            <v>Fir Vale School</v>
          </cell>
          <cell r="G150">
            <v>1025</v>
          </cell>
          <cell r="H150">
            <v>9.8677517802644998E-2</v>
          </cell>
          <cell r="I150">
            <v>38.136032553407972</v>
          </cell>
          <cell r="J150">
            <v>68.881604696673236</v>
          </cell>
          <cell r="K150">
            <v>0.12720156555772999</v>
          </cell>
          <cell r="L150">
            <v>1.2890632880747273</v>
          </cell>
          <cell r="M150">
            <v>6.7201565557729992E-2</v>
          </cell>
          <cell r="N150">
            <v>93678.982387475597</v>
          </cell>
        </row>
        <row r="151">
          <cell r="D151">
            <v>4003</v>
          </cell>
          <cell r="E151" t="str">
            <v>Firth Park Academy</v>
          </cell>
          <cell r="G151">
            <v>1166</v>
          </cell>
          <cell r="H151">
            <v>5.9701492537313397E-2</v>
          </cell>
          <cell r="I151">
            <v>0</v>
          </cell>
          <cell r="J151">
            <v>0</v>
          </cell>
          <cell r="K151">
            <v>5.8469475494410998E-2</v>
          </cell>
          <cell r="L151">
            <v>0.97936371453138482</v>
          </cell>
          <cell r="M151">
            <v>0</v>
          </cell>
          <cell r="N151">
            <v>0</v>
          </cell>
        </row>
        <row r="152">
          <cell r="D152">
            <v>4007</v>
          </cell>
          <cell r="E152" t="str">
            <v>Forge Valley School</v>
          </cell>
          <cell r="G152">
            <v>1243</v>
          </cell>
          <cell r="H152">
            <v>1.9867549668874201E-2</v>
          </cell>
          <cell r="I152">
            <v>0</v>
          </cell>
          <cell r="J152">
            <v>0</v>
          </cell>
          <cell r="K152">
            <v>2.6634382566585998E-2</v>
          </cell>
          <cell r="L152">
            <v>1.3405972558514934</v>
          </cell>
          <cell r="M152">
            <v>0</v>
          </cell>
          <cell r="N152">
            <v>0</v>
          </cell>
        </row>
        <row r="153">
          <cell r="D153">
            <v>4278</v>
          </cell>
          <cell r="E153" t="str">
            <v>Handsworth Grange Community Sports College</v>
          </cell>
          <cell r="G153">
            <v>1015</v>
          </cell>
          <cell r="H153">
            <v>2.2772277227722799E-2</v>
          </cell>
          <cell r="I153">
            <v>0</v>
          </cell>
          <cell r="J153">
            <v>0</v>
          </cell>
          <cell r="K153">
            <v>1.78041543026706E-2</v>
          </cell>
          <cell r="L153">
            <v>0.78183460198683841</v>
          </cell>
          <cell r="M153">
            <v>0</v>
          </cell>
          <cell r="N153">
            <v>0</v>
          </cell>
        </row>
        <row r="154">
          <cell r="D154">
            <v>4257</v>
          </cell>
          <cell r="E154" t="str">
            <v>High Storrs School</v>
          </cell>
          <cell r="G154">
            <v>1214</v>
          </cell>
          <cell r="H154">
            <v>1.7456359102244402E-2</v>
          </cell>
          <cell r="I154">
            <v>0</v>
          </cell>
          <cell r="J154">
            <v>0</v>
          </cell>
          <cell r="K154">
            <v>1.9801980198019799E-2</v>
          </cell>
          <cell r="L154">
            <v>1.1343705799151333</v>
          </cell>
          <cell r="M154">
            <v>0</v>
          </cell>
          <cell r="N154">
            <v>0</v>
          </cell>
        </row>
        <row r="155">
          <cell r="D155">
            <v>4230</v>
          </cell>
          <cell r="E155" t="str">
            <v>King Ecgbert School</v>
          </cell>
          <cell r="G155">
            <v>1030</v>
          </cell>
          <cell r="H155">
            <v>1.6441005802707898E-2</v>
          </cell>
          <cell r="I155">
            <v>0</v>
          </cell>
          <cell r="J155">
            <v>0</v>
          </cell>
          <cell r="K155">
            <v>2.4271844660194199E-2</v>
          </cell>
          <cell r="L155">
            <v>1.4762992575671088</v>
          </cell>
          <cell r="M155">
            <v>0</v>
          </cell>
          <cell r="N155">
            <v>0</v>
          </cell>
        </row>
        <row r="156">
          <cell r="D156">
            <v>4259</v>
          </cell>
          <cell r="E156" t="str">
            <v>King Edward VII School</v>
          </cell>
          <cell r="G156">
            <v>1141</v>
          </cell>
          <cell r="H156">
            <v>4.4130626654898503E-2</v>
          </cell>
          <cell r="I156">
            <v>0</v>
          </cell>
          <cell r="J156">
            <v>0</v>
          </cell>
          <cell r="K156">
            <v>4.7410008779631301E-2</v>
          </cell>
          <cell r="L156">
            <v>1.0743107989464451</v>
          </cell>
          <cell r="M156">
            <v>0</v>
          </cell>
          <cell r="N156">
            <v>0</v>
          </cell>
        </row>
        <row r="157">
          <cell r="D157">
            <v>4279</v>
          </cell>
          <cell r="E157" t="str">
            <v>Meadowhead School Academy Trust</v>
          </cell>
          <cell r="G157">
            <v>1640</v>
          </cell>
          <cell r="H157">
            <v>3.57803824799506E-2</v>
          </cell>
          <cell r="I157">
            <v>0</v>
          </cell>
          <cell r="J157">
            <v>0</v>
          </cell>
          <cell r="K157">
            <v>4.5843520782396098E-2</v>
          </cell>
          <cell r="L157">
            <v>1.2812473653148995</v>
          </cell>
          <cell r="M157">
            <v>0</v>
          </cell>
          <cell r="N157">
            <v>0</v>
          </cell>
        </row>
        <row r="158">
          <cell r="D158">
            <v>4015</v>
          </cell>
          <cell r="E158" t="str">
            <v>Mercia School</v>
          </cell>
          <cell r="G158">
            <v>786</v>
          </cell>
          <cell r="H158">
            <v>1.15131578947368E-2</v>
          </cell>
          <cell r="I158">
            <v>0</v>
          </cell>
          <cell r="J158">
            <v>0</v>
          </cell>
          <cell r="K158">
            <v>1.40485312899106E-2</v>
          </cell>
          <cell r="L158">
            <v>1.2202152891808109</v>
          </cell>
          <cell r="M158">
            <v>0</v>
          </cell>
          <cell r="N158">
            <v>0</v>
          </cell>
        </row>
        <row r="159">
          <cell r="D159">
            <v>4008</v>
          </cell>
          <cell r="E159" t="str">
            <v>Newfield Secondary School</v>
          </cell>
          <cell r="G159">
            <v>1055</v>
          </cell>
          <cell r="H159">
            <v>3.01556420233463E-2</v>
          </cell>
          <cell r="I159">
            <v>0</v>
          </cell>
          <cell r="J159">
            <v>0</v>
          </cell>
          <cell r="K159">
            <v>3.4220532319391601E-2</v>
          </cell>
          <cell r="L159">
            <v>1.1347970072365989</v>
          </cell>
          <cell r="M159">
            <v>0</v>
          </cell>
          <cell r="N159">
            <v>0</v>
          </cell>
        </row>
        <row r="160">
          <cell r="D160">
            <v>5400</v>
          </cell>
          <cell r="E160" t="str">
            <v>Notre Dame High School</v>
          </cell>
          <cell r="G160">
            <v>1067</v>
          </cell>
          <cell r="H160">
            <v>1.12888052681091E-2</v>
          </cell>
          <cell r="I160">
            <v>0</v>
          </cell>
          <cell r="J160">
            <v>0</v>
          </cell>
          <cell r="K160">
            <v>1.4058106841612E-2</v>
          </cell>
          <cell r="L160">
            <v>1.2453139643861324</v>
          </cell>
          <cell r="M160">
            <v>0</v>
          </cell>
          <cell r="N160">
            <v>0</v>
          </cell>
        </row>
        <row r="161">
          <cell r="D161">
            <v>4006</v>
          </cell>
          <cell r="E161" t="str">
            <v>Outwood Academy City</v>
          </cell>
          <cell r="G161">
            <v>1126</v>
          </cell>
          <cell r="H161">
            <v>3.7300177619893397E-2</v>
          </cell>
          <cell r="I161">
            <v>0</v>
          </cell>
          <cell r="J161">
            <v>0</v>
          </cell>
          <cell r="K161">
            <v>0.04</v>
          </cell>
          <cell r="L161">
            <v>1.0723809523809533</v>
          </cell>
          <cell r="M161">
            <v>0</v>
          </cell>
          <cell r="N161">
            <v>0</v>
          </cell>
        </row>
        <row r="162">
          <cell r="D162">
            <v>6907</v>
          </cell>
          <cell r="E162" t="str">
            <v>Parkwood E-ACT Academy</v>
          </cell>
          <cell r="G162">
            <v>793</v>
          </cell>
          <cell r="H162">
            <v>8.6142322097378293E-2</v>
          </cell>
          <cell r="I162">
            <v>21.070711610486907</v>
          </cell>
          <cell r="J162">
            <v>29.614690265486704</v>
          </cell>
          <cell r="K162">
            <v>9.7345132743362803E-2</v>
          </cell>
          <cell r="L162">
            <v>1.1300500192381679</v>
          </cell>
          <cell r="M162">
            <v>3.7345132743362805E-2</v>
          </cell>
          <cell r="N162">
            <v>40275.978761061917</v>
          </cell>
        </row>
        <row r="163">
          <cell r="D163">
            <v>6905</v>
          </cell>
          <cell r="E163" t="str">
            <v>Sheffield Park Academy</v>
          </cell>
          <cell r="G163">
            <v>1029</v>
          </cell>
          <cell r="H163">
            <v>2.59481037924152E-2</v>
          </cell>
          <cell r="I163">
            <v>0</v>
          </cell>
          <cell r="J163">
            <v>0</v>
          </cell>
          <cell r="K163">
            <v>5.5718475073313803E-2</v>
          </cell>
          <cell r="L163">
            <v>2.1473043085946295</v>
          </cell>
          <cell r="M163">
            <v>0</v>
          </cell>
          <cell r="N163">
            <v>0</v>
          </cell>
        </row>
        <row r="164">
          <cell r="D164">
            <v>6906</v>
          </cell>
          <cell r="E164" t="str">
            <v>Sheffield Springs Academy</v>
          </cell>
          <cell r="G164">
            <v>981</v>
          </cell>
          <cell r="H164">
            <v>9.9678456591639902E-2</v>
          </cell>
          <cell r="I164">
            <v>37.258070739549872</v>
          </cell>
          <cell r="J164">
            <v>33.801190965092403</v>
          </cell>
          <cell r="K164">
            <v>9.4455852156057493E-2</v>
          </cell>
          <cell r="L164">
            <v>0.94760548453335069</v>
          </cell>
          <cell r="M164">
            <v>3.4455852156057495E-2</v>
          </cell>
          <cell r="N164">
            <v>45969.619712525666</v>
          </cell>
        </row>
        <row r="165">
          <cell r="D165">
            <v>4229</v>
          </cell>
          <cell r="E165" t="str">
            <v>Silverdale School</v>
          </cell>
          <cell r="G165">
            <v>1021</v>
          </cell>
          <cell r="H165">
            <v>1.5779092702169598E-2</v>
          </cell>
          <cell r="I165">
            <v>0</v>
          </cell>
          <cell r="J165">
            <v>0</v>
          </cell>
          <cell r="K165">
            <v>1.7681728880157201E-2</v>
          </cell>
          <cell r="L165">
            <v>1.1205795677799646</v>
          </cell>
          <cell r="M165">
            <v>0</v>
          </cell>
          <cell r="N165">
            <v>0</v>
          </cell>
        </row>
        <row r="166">
          <cell r="D166">
            <v>4271</v>
          </cell>
          <cell r="E166" t="str">
            <v>Stocksbridge High School</v>
          </cell>
          <cell r="G166">
            <v>793</v>
          </cell>
          <cell r="H166">
            <v>2.13032581453634E-2</v>
          </cell>
          <cell r="I166">
            <v>0</v>
          </cell>
          <cell r="J166">
            <v>0</v>
          </cell>
          <cell r="K166">
            <v>1.51324085750315E-2</v>
          </cell>
          <cell r="L166">
            <v>0.71033306134559659</v>
          </cell>
          <cell r="M166">
            <v>0</v>
          </cell>
          <cell r="N166">
            <v>0</v>
          </cell>
        </row>
        <row r="167">
          <cell r="D167">
            <v>4234</v>
          </cell>
          <cell r="E167" t="str">
            <v>Tapton School</v>
          </cell>
          <cell r="G167">
            <v>1357</v>
          </cell>
          <cell r="H167">
            <v>2.73668639053254E-2</v>
          </cell>
          <cell r="I167">
            <v>0</v>
          </cell>
          <cell r="J167">
            <v>0</v>
          </cell>
          <cell r="K167">
            <v>3.6162361623616197E-2</v>
          </cell>
          <cell r="L167">
            <v>1.3213922409494372</v>
          </cell>
          <cell r="M167">
            <v>0</v>
          </cell>
          <cell r="N167">
            <v>0</v>
          </cell>
        </row>
        <row r="168">
          <cell r="D168">
            <v>4276</v>
          </cell>
          <cell r="E168" t="str">
            <v>The Birley Academy</v>
          </cell>
          <cell r="G168">
            <v>1076</v>
          </cell>
          <cell r="H168">
            <v>3.7348272642390302E-2</v>
          </cell>
          <cell r="I168">
            <v>0</v>
          </cell>
          <cell r="J168">
            <v>0</v>
          </cell>
          <cell r="K168">
            <v>3.2588454376163901E-2</v>
          </cell>
          <cell r="L168">
            <v>0.87255586592178813</v>
          </cell>
          <cell r="M168">
            <v>0</v>
          </cell>
          <cell r="N168">
            <v>0</v>
          </cell>
        </row>
        <row r="169">
          <cell r="D169">
            <v>4004</v>
          </cell>
          <cell r="E169" t="str">
            <v>UTC Sheffield City Centre</v>
          </cell>
          <cell r="G169">
            <v>312</v>
          </cell>
          <cell r="H169">
            <v>2.8753993610223599E-2</v>
          </cell>
          <cell r="I169">
            <v>0</v>
          </cell>
          <cell r="J169">
            <v>0</v>
          </cell>
          <cell r="K169">
            <v>1.9230769230769201E-2</v>
          </cell>
          <cell r="L169">
            <v>0.66880341880341876</v>
          </cell>
          <cell r="M169">
            <v>0</v>
          </cell>
          <cell r="N169">
            <v>0</v>
          </cell>
        </row>
        <row r="170">
          <cell r="D170">
            <v>4010</v>
          </cell>
          <cell r="E170" t="str">
            <v>UTC Sheffield Olympic Legacy Park</v>
          </cell>
          <cell r="G170">
            <v>301</v>
          </cell>
          <cell r="H170">
            <v>3.6423841059602599E-2</v>
          </cell>
          <cell r="I170">
            <v>0</v>
          </cell>
          <cell r="J170">
            <v>1.0033333333333232</v>
          </cell>
          <cell r="K170">
            <v>6.3333333333333297E-2</v>
          </cell>
          <cell r="L170">
            <v>1.7387878787878801</v>
          </cell>
          <cell r="M170">
            <v>3.3333333333332993E-3</v>
          </cell>
          <cell r="N170">
            <v>1364.5333333333197</v>
          </cell>
        </row>
        <row r="171">
          <cell r="D171">
            <v>4013</v>
          </cell>
          <cell r="E171" t="str">
            <v>Westfield School</v>
          </cell>
          <cell r="G171">
            <v>1245</v>
          </cell>
          <cell r="H171">
            <v>2.1848739495798301E-2</v>
          </cell>
          <cell r="I171">
            <v>0</v>
          </cell>
          <cell r="J171">
            <v>0</v>
          </cell>
          <cell r="K171">
            <v>1.76706827309237E-2</v>
          </cell>
          <cell r="L171">
            <v>0.80877355576150856</v>
          </cell>
          <cell r="M171">
            <v>0</v>
          </cell>
          <cell r="N171">
            <v>0</v>
          </cell>
        </row>
        <row r="172">
          <cell r="D172">
            <v>4016</v>
          </cell>
          <cell r="E172" t="str">
            <v>Yewlands Academy</v>
          </cell>
          <cell r="G172">
            <v>901</v>
          </cell>
          <cell r="H172">
            <v>2.4E-2</v>
          </cell>
          <cell r="I172">
            <v>0</v>
          </cell>
          <cell r="J172">
            <v>0</v>
          </cell>
          <cell r="K172">
            <v>0.02</v>
          </cell>
          <cell r="L172">
            <v>0.83333333333333337</v>
          </cell>
          <cell r="M172">
            <v>0</v>
          </cell>
          <cell r="N172">
            <v>0</v>
          </cell>
        </row>
        <row r="173">
          <cell r="D173">
            <v>0</v>
          </cell>
          <cell r="E173">
            <v>0</v>
          </cell>
          <cell r="I173">
            <v>0</v>
          </cell>
        </row>
        <row r="174">
          <cell r="D174">
            <v>0</v>
          </cell>
          <cell r="E174" t="str">
            <v>Total Secondary</v>
          </cell>
          <cell r="G174">
            <v>27959</v>
          </cell>
          <cell r="I174">
            <v>0</v>
          </cell>
          <cell r="J174">
            <v>133.30081926058568</v>
          </cell>
          <cell r="M174">
            <v>4.7677248564178144E-3</v>
          </cell>
          <cell r="N174">
            <v>181289.1141943965</v>
          </cell>
        </row>
        <row r="175">
          <cell r="D175">
            <v>0</v>
          </cell>
          <cell r="E175">
            <v>0</v>
          </cell>
          <cell r="I175">
            <v>0</v>
          </cell>
        </row>
        <row r="176">
          <cell r="D176">
            <v>0</v>
          </cell>
          <cell r="E176" t="str">
            <v>Middle Deemed Secondary</v>
          </cell>
          <cell r="I176">
            <v>0</v>
          </cell>
        </row>
        <row r="177">
          <cell r="D177">
            <v>0</v>
          </cell>
          <cell r="E177">
            <v>0</v>
          </cell>
          <cell r="I177">
            <v>0</v>
          </cell>
        </row>
        <row r="178">
          <cell r="D178">
            <v>4014</v>
          </cell>
          <cell r="E178" t="str">
            <v>Astrea Academy Sheffield</v>
          </cell>
          <cell r="G178">
            <v>979</v>
          </cell>
          <cell r="H178">
            <v>0.13181676372712145</v>
          </cell>
          <cell r="I178">
            <v>33.088993344425937</v>
          </cell>
          <cell r="J178">
            <v>39.5450888794836</v>
          </cell>
          <cell r="K178">
            <v>0.14083827108242505</v>
          </cell>
          <cell r="L178">
            <v>1.0684397575863669</v>
          </cell>
          <cell r="M178">
            <v>4.0393349212955669E-2</v>
          </cell>
          <cell r="N178">
            <v>37529.761260713094</v>
          </cell>
        </row>
        <row r="179">
          <cell r="D179">
            <v>4225</v>
          </cell>
          <cell r="E179" t="str">
            <v>Hinde House 2-16 School</v>
          </cell>
          <cell r="G179">
            <v>1322</v>
          </cell>
          <cell r="H179">
            <v>4.5081967213114749E-2</v>
          </cell>
          <cell r="I179">
            <v>0</v>
          </cell>
          <cell r="J179">
            <v>0</v>
          </cell>
          <cell r="K179">
            <v>4.9365239801237248E-2</v>
          </cell>
          <cell r="L179">
            <v>1.0950107737728991</v>
          </cell>
          <cell r="M179">
            <v>0</v>
          </cell>
          <cell r="N179">
            <v>0</v>
          </cell>
        </row>
        <row r="180">
          <cell r="D180">
            <v>4005</v>
          </cell>
          <cell r="E180" t="str">
            <v>Oasis Academy Don Valley</v>
          </cell>
          <cell r="G180">
            <v>1061</v>
          </cell>
          <cell r="H180">
            <v>5.5842827928717503E-2</v>
          </cell>
          <cell r="I180">
            <v>0</v>
          </cell>
          <cell r="J180">
            <v>3.3756521739130259</v>
          </cell>
          <cell r="K180">
            <v>6.15942028985507E-2</v>
          </cell>
          <cell r="L180">
            <v>1.1029921868780488</v>
          </cell>
          <cell r="M180">
            <v>3.181576035733295E-3</v>
          </cell>
          <cell r="N180">
            <v>4590.8869565217155</v>
          </cell>
        </row>
        <row r="181">
          <cell r="D181">
            <v>0</v>
          </cell>
          <cell r="E181">
            <v>0</v>
          </cell>
        </row>
        <row r="182">
          <cell r="D182">
            <v>0</v>
          </cell>
          <cell r="E182" t="str">
            <v>Total Middle Deemed Secondary</v>
          </cell>
          <cell r="G182">
            <v>3362</v>
          </cell>
          <cell r="I182">
            <v>33.088993344425937</v>
          </cell>
          <cell r="J182">
            <v>42.920741053396625</v>
          </cell>
          <cell r="M182">
            <v>1.2766431009338676E-2</v>
          </cell>
          <cell r="N182">
            <v>42120.648217234811</v>
          </cell>
        </row>
        <row r="183">
          <cell r="E183">
            <v>0</v>
          </cell>
        </row>
        <row r="184">
          <cell r="E184" t="str">
            <v>TOTAL ALL SCHOOLS</v>
          </cell>
          <cell r="G184">
            <v>74732</v>
          </cell>
          <cell r="I184">
            <v>33.088993344425937</v>
          </cell>
          <cell r="J184">
            <v>761.63947012333915</v>
          </cell>
          <cell r="M184">
            <v>1.0191610958134924E-2</v>
          </cell>
          <cell r="N184">
            <v>776629.68718147371</v>
          </cell>
        </row>
        <row r="185">
          <cell r="G185">
            <v>0</v>
          </cell>
        </row>
        <row r="186">
          <cell r="D186">
            <v>4014</v>
          </cell>
          <cell r="E186" t="str">
            <v>Astrea Academy - Woodside x 7/12</v>
          </cell>
          <cell r="G186">
            <v>243</v>
          </cell>
          <cell r="H186">
            <v>0.19375000000000001</v>
          </cell>
          <cell r="I186">
            <v>26.215</v>
          </cell>
          <cell r="J186">
            <v>39.160384615384579</v>
          </cell>
          <cell r="K186">
            <v>0.22115384615384601</v>
          </cell>
          <cell r="M186">
            <v>0.16115384615384601</v>
          </cell>
          <cell r="N186">
            <v>37006.563461538426</v>
          </cell>
        </row>
        <row r="187">
          <cell r="D187">
            <v>4014</v>
          </cell>
          <cell r="E187" t="str">
            <v>Astrea Academy - Woodside x 7/12</v>
          </cell>
          <cell r="G187">
            <v>736</v>
          </cell>
          <cell r="H187">
            <v>6.9883527454242894E-2</v>
          </cell>
          <cell r="I187">
            <v>6.8739933444259345</v>
          </cell>
          <cell r="J187">
            <v>0.38470426409902014</v>
          </cell>
          <cell r="K187">
            <v>6.0522696011004101E-2</v>
          </cell>
          <cell r="M187">
            <v>5.2269601100410346E-4</v>
          </cell>
          <cell r="N187">
            <v>523.19779917466735</v>
          </cell>
        </row>
        <row r="188">
          <cell r="G188">
            <v>979</v>
          </cell>
          <cell r="H188">
            <v>0.13181676372712145</v>
          </cell>
          <cell r="I188">
            <v>33.088993344425937</v>
          </cell>
          <cell r="J188">
            <v>39.5450888794836</v>
          </cell>
          <cell r="K188">
            <v>0.14083827108242505</v>
          </cell>
          <cell r="M188">
            <v>4.0393349212955669E-2</v>
          </cell>
          <cell r="N188">
            <v>37529.761260713094</v>
          </cell>
        </row>
        <row r="190">
          <cell r="D190">
            <v>4225</v>
          </cell>
          <cell r="E190" t="str">
            <v>Hinde House 3-16 School</v>
          </cell>
          <cell r="G190">
            <v>419</v>
          </cell>
          <cell r="H190">
            <v>4.91803278688525E-2</v>
          </cell>
          <cell r="I190">
            <v>0</v>
          </cell>
          <cell r="J190">
            <v>0</v>
          </cell>
          <cell r="K190">
            <v>4.77326968973747E-2</v>
          </cell>
          <cell r="M190">
            <v>0</v>
          </cell>
          <cell r="N190">
            <v>0</v>
          </cell>
        </row>
        <row r="191">
          <cell r="D191">
            <v>4225</v>
          </cell>
          <cell r="E191" t="str">
            <v>Hinde House 3-16 School</v>
          </cell>
          <cell r="G191">
            <v>903</v>
          </cell>
          <cell r="H191">
            <v>4.0983606557376998E-2</v>
          </cell>
          <cell r="I191">
            <v>0</v>
          </cell>
          <cell r="J191">
            <v>0</v>
          </cell>
          <cell r="K191">
            <v>5.0997782705099803E-2</v>
          </cell>
          <cell r="M191">
            <v>0</v>
          </cell>
          <cell r="N191">
            <v>0</v>
          </cell>
        </row>
        <row r="192">
          <cell r="G192">
            <v>1322</v>
          </cell>
          <cell r="H192">
            <v>4.5081967213114749E-2</v>
          </cell>
          <cell r="I192">
            <v>0</v>
          </cell>
          <cell r="J192">
            <v>0</v>
          </cell>
          <cell r="K192">
            <v>4.9365239801237248E-2</v>
          </cell>
          <cell r="M192">
            <v>0</v>
          </cell>
          <cell r="N192">
            <v>0</v>
          </cell>
        </row>
        <row r="194">
          <cell r="D194">
            <v>4005</v>
          </cell>
          <cell r="E194" t="str">
            <v>Oasis Academy Don Valley</v>
          </cell>
          <cell r="G194">
            <v>414</v>
          </cell>
          <cell r="H194">
            <v>5.2380952380952403E-2</v>
          </cell>
          <cell r="I194">
            <v>0</v>
          </cell>
          <cell r="J194">
            <v>0</v>
          </cell>
          <cell r="K194">
            <v>5.7971014492753603E-2</v>
          </cell>
          <cell r="M194">
            <v>0</v>
          </cell>
          <cell r="N194">
            <v>0</v>
          </cell>
        </row>
        <row r="195">
          <cell r="D195">
            <v>4005</v>
          </cell>
          <cell r="E195" t="str">
            <v>Oasis Academy Don Valley</v>
          </cell>
          <cell r="G195">
            <v>647</v>
          </cell>
          <cell r="H195">
            <v>5.9304703476482597E-2</v>
          </cell>
          <cell r="I195">
            <v>0</v>
          </cell>
          <cell r="J195">
            <v>3.3756521739130259</v>
          </cell>
          <cell r="K195">
            <v>6.5217391304347797E-2</v>
          </cell>
          <cell r="M195">
            <v>5.2173913043477987E-3</v>
          </cell>
          <cell r="N195">
            <v>4590.8869565217155</v>
          </cell>
        </row>
        <row r="196">
          <cell r="G196">
            <v>1061</v>
          </cell>
          <cell r="H196">
            <v>5.5842827928717503E-2</v>
          </cell>
          <cell r="I196">
            <v>0</v>
          </cell>
          <cell r="J196">
            <v>3.3756521739130259</v>
          </cell>
          <cell r="K196">
            <v>6.15942028985507E-2</v>
          </cell>
          <cell r="M196">
            <v>3.181576035733295E-3</v>
          </cell>
          <cell r="N196">
            <v>4590.8869565217155</v>
          </cell>
        </row>
        <row r="198">
          <cell r="H198" t="str">
            <v>Primary</v>
          </cell>
          <cell r="K198">
            <v>945</v>
          </cell>
          <cell r="M198">
            <v>624.57829442474144</v>
          </cell>
          <cell r="N198">
            <v>590226.4882313807</v>
          </cell>
        </row>
        <row r="199">
          <cell r="H199" t="str">
            <v>Secondary</v>
          </cell>
          <cell r="K199">
            <v>1360</v>
          </cell>
          <cell r="M199">
            <v>137.06117569859774</v>
          </cell>
          <cell r="N199">
            <v>186403.19895009292</v>
          </cell>
        </row>
        <row r="200">
          <cell r="M200">
            <v>761.63947012333915</v>
          </cell>
          <cell r="N200">
            <v>776629.68718147359</v>
          </cell>
        </row>
        <row r="201">
          <cell r="N201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E1" t="str">
            <v>FSM Funding</v>
          </cell>
          <cell r="G1" t="str">
            <v>2023-24</v>
          </cell>
          <cell r="I1" t="str">
            <v>FSM</v>
          </cell>
          <cell r="N1" t="str">
            <v>Ever6</v>
          </cell>
        </row>
        <row r="2">
          <cell r="G2" t="str">
            <v>2022-23</v>
          </cell>
          <cell r="H2" t="str">
            <v>2022-23</v>
          </cell>
          <cell r="I2" t="str">
            <v>23-24 Min</v>
          </cell>
          <cell r="J2" t="str">
            <v>23-24 Max</v>
          </cell>
          <cell r="K2" t="str">
            <v>NFF to use</v>
          </cell>
          <cell r="L2" t="str">
            <v>2022-23</v>
          </cell>
          <cell r="M2" t="str">
            <v>2022-23</v>
          </cell>
          <cell r="N2" t="str">
            <v>23-24 Min</v>
          </cell>
        </row>
        <row r="3">
          <cell r="F3" t="str">
            <v>Primary</v>
          </cell>
          <cell r="G3">
            <v>363.56608428317645</v>
          </cell>
          <cell r="H3">
            <v>363.56608428317645</v>
          </cell>
          <cell r="I3">
            <v>384.21</v>
          </cell>
          <cell r="J3">
            <v>480</v>
          </cell>
          <cell r="K3">
            <v>393.59999999999997</v>
          </cell>
          <cell r="L3">
            <v>476.59118920722159</v>
          </cell>
          <cell r="M3">
            <v>476.59118920722159</v>
          </cell>
          <cell r="N3">
            <v>602.92999999999995</v>
          </cell>
        </row>
        <row r="4">
          <cell r="F4" t="str">
            <v>Secondary</v>
          </cell>
          <cell r="G4">
            <v>470</v>
          </cell>
          <cell r="H4">
            <v>470</v>
          </cell>
          <cell r="I4">
            <v>468</v>
          </cell>
          <cell r="J4">
            <v>480</v>
          </cell>
          <cell r="K4">
            <v>475.2</v>
          </cell>
          <cell r="L4">
            <v>435.93366606179188</v>
          </cell>
          <cell r="M4">
            <v>435.93366606179188</v>
          </cell>
          <cell r="N4">
            <v>643.84</v>
          </cell>
        </row>
        <row r="5">
          <cell r="H5">
            <v>25</v>
          </cell>
          <cell r="K5">
            <v>26</v>
          </cell>
        </row>
        <row r="6">
          <cell r="E6" t="str">
            <v>DfE</v>
          </cell>
          <cell r="F6" t="str">
            <v>School</v>
          </cell>
          <cell r="G6" t="str">
            <v>Pupil No.</v>
          </cell>
          <cell r="H6" t="str">
            <v>FSM %</v>
          </cell>
          <cell r="I6" t="str">
            <v>No. FSM</v>
          </cell>
          <cell r="J6" t="str">
            <v>Amount £</v>
          </cell>
          <cell r="K6" t="str">
            <v>Ever6 %</v>
          </cell>
          <cell r="L6" t="str">
            <v>No. Ever6</v>
          </cell>
          <cell r="M6" t="str">
            <v>Amount £</v>
          </cell>
          <cell r="N6" t="str">
            <v>Total £</v>
          </cell>
        </row>
        <row r="8">
          <cell r="E8">
            <v>2001</v>
          </cell>
          <cell r="F8" t="str">
            <v>Abbey Lane Primary School</v>
          </cell>
          <cell r="G8">
            <v>546</v>
          </cell>
          <cell r="H8">
            <v>0.146520146520147</v>
          </cell>
          <cell r="I8">
            <v>80.000000000000256</v>
          </cell>
          <cell r="J8">
            <v>31488.000000000098</v>
          </cell>
          <cell r="K8">
            <v>0.15018315018315001</v>
          </cell>
          <cell r="L8">
            <v>81.999999999999901</v>
          </cell>
          <cell r="M8">
            <v>49440.259999999937</v>
          </cell>
          <cell r="N8">
            <v>80928.260000000038</v>
          </cell>
        </row>
        <row r="9">
          <cell r="E9">
            <v>2046</v>
          </cell>
          <cell r="F9" t="str">
            <v>Abbeyfield Primary Academy</v>
          </cell>
          <cell r="G9">
            <v>372</v>
          </cell>
          <cell r="H9">
            <v>0.44892473118279602</v>
          </cell>
          <cell r="I9">
            <v>167.00000000000011</v>
          </cell>
          <cell r="J9">
            <v>65731.200000000041</v>
          </cell>
          <cell r="K9">
            <v>0.45967741935483902</v>
          </cell>
          <cell r="L9">
            <v>171.00000000000011</v>
          </cell>
          <cell r="M9">
            <v>103101.03000000006</v>
          </cell>
          <cell r="N9">
            <v>168832.2300000001</v>
          </cell>
        </row>
        <row r="10">
          <cell r="E10">
            <v>2048</v>
          </cell>
          <cell r="F10" t="str">
            <v>Acres Hill Community Primary School</v>
          </cell>
          <cell r="G10">
            <v>205</v>
          </cell>
          <cell r="H10">
            <v>0.47317073170731699</v>
          </cell>
          <cell r="I10">
            <v>96.999999999999986</v>
          </cell>
          <cell r="J10">
            <v>38179.19999999999</v>
          </cell>
          <cell r="K10">
            <v>0.49756097560975598</v>
          </cell>
          <cell r="L10">
            <v>101.99999999999997</v>
          </cell>
          <cell r="M10">
            <v>61498.859999999979</v>
          </cell>
          <cell r="N10">
            <v>99678.059999999969</v>
          </cell>
        </row>
        <row r="11">
          <cell r="E11">
            <v>2342</v>
          </cell>
          <cell r="F11" t="str">
            <v>Angram Bank Primary School</v>
          </cell>
          <cell r="G11">
            <v>184</v>
          </cell>
          <cell r="H11">
            <v>0.44565217391304301</v>
          </cell>
          <cell r="I11">
            <v>81.999999999999915</v>
          </cell>
          <cell r="J11">
            <v>32275.199999999964</v>
          </cell>
          <cell r="K11">
            <v>0.45108695652173902</v>
          </cell>
          <cell r="L11">
            <v>82.999999999999986</v>
          </cell>
          <cell r="M11">
            <v>50043.189999999988</v>
          </cell>
          <cell r="N11">
            <v>82318.389999999956</v>
          </cell>
        </row>
        <row r="12">
          <cell r="E12">
            <v>2343</v>
          </cell>
          <cell r="F12" t="str">
            <v>Anns Grove Primary School</v>
          </cell>
          <cell r="G12">
            <v>334</v>
          </cell>
          <cell r="H12">
            <v>0.39221556886227499</v>
          </cell>
          <cell r="I12">
            <v>130.99999999999986</v>
          </cell>
          <cell r="J12">
            <v>51561.59999999994</v>
          </cell>
          <cell r="K12">
            <v>0.40119760479041899</v>
          </cell>
          <cell r="L12">
            <v>133.99999999999994</v>
          </cell>
          <cell r="M12">
            <v>80792.619999999966</v>
          </cell>
          <cell r="N12">
            <v>132354.21999999991</v>
          </cell>
        </row>
        <row r="13">
          <cell r="E13">
            <v>3429</v>
          </cell>
          <cell r="F13" t="str">
            <v>Arbourthorne Community Primary School</v>
          </cell>
          <cell r="G13">
            <v>420</v>
          </cell>
          <cell r="H13">
            <v>0.61666666666666703</v>
          </cell>
          <cell r="I13">
            <v>259.00000000000017</v>
          </cell>
          <cell r="J13">
            <v>101942.40000000005</v>
          </cell>
          <cell r="K13">
            <v>0.628571428571429</v>
          </cell>
          <cell r="L13">
            <v>264.00000000000017</v>
          </cell>
          <cell r="M13">
            <v>159173.52000000008</v>
          </cell>
          <cell r="N13">
            <v>261115.92000000013</v>
          </cell>
        </row>
        <row r="14">
          <cell r="E14">
            <v>2340</v>
          </cell>
          <cell r="F14" t="str">
            <v>Athelstan Primary School</v>
          </cell>
          <cell r="G14">
            <v>614</v>
          </cell>
          <cell r="H14">
            <v>0.30618892508143303</v>
          </cell>
          <cell r="I14">
            <v>187.99999999999989</v>
          </cell>
          <cell r="J14">
            <v>73996.799999999945</v>
          </cell>
          <cell r="K14">
            <v>0.31596091205211702</v>
          </cell>
          <cell r="L14">
            <v>193.99999999999986</v>
          </cell>
          <cell r="M14">
            <v>116968.41999999991</v>
          </cell>
          <cell r="N14">
            <v>190965.21999999986</v>
          </cell>
        </row>
        <row r="15">
          <cell r="E15">
            <v>2281</v>
          </cell>
          <cell r="F15" t="str">
            <v>Ballifield Primary School</v>
          </cell>
          <cell r="G15">
            <v>415</v>
          </cell>
          <cell r="H15">
            <v>0.16385542168674699</v>
          </cell>
          <cell r="I15">
            <v>68</v>
          </cell>
          <cell r="J15">
            <v>26764.799999999999</v>
          </cell>
          <cell r="K15">
            <v>0.16867469879518099</v>
          </cell>
          <cell r="L15">
            <v>70.000000000000114</v>
          </cell>
          <cell r="M15">
            <v>42205.100000000064</v>
          </cell>
          <cell r="N15">
            <v>68969.900000000067</v>
          </cell>
        </row>
        <row r="16">
          <cell r="E16">
            <v>2322</v>
          </cell>
          <cell r="F16" t="str">
            <v>Bankwood Community Primary School</v>
          </cell>
          <cell r="G16">
            <v>384</v>
          </cell>
          <cell r="H16">
            <v>0.71614583333333304</v>
          </cell>
          <cell r="I16">
            <v>274.99999999999989</v>
          </cell>
          <cell r="J16">
            <v>108239.99999999994</v>
          </cell>
          <cell r="K16">
            <v>0.72135416666666696</v>
          </cell>
          <cell r="L16">
            <v>277.00000000000011</v>
          </cell>
          <cell r="M16">
            <v>167011.61000000004</v>
          </cell>
          <cell r="N16">
            <v>275251.61</v>
          </cell>
        </row>
        <row r="17">
          <cell r="E17">
            <v>2274</v>
          </cell>
          <cell r="F17" t="str">
            <v>Beck Primary School</v>
          </cell>
          <cell r="G17">
            <v>615</v>
          </cell>
          <cell r="H17">
            <v>0.534959349593496</v>
          </cell>
          <cell r="I17">
            <v>329.00000000000006</v>
          </cell>
          <cell r="J17">
            <v>129494.40000000001</v>
          </cell>
          <cell r="K17">
            <v>0.55447154471544702</v>
          </cell>
          <cell r="L17">
            <v>340.99999999999994</v>
          </cell>
          <cell r="M17">
            <v>205599.12999999995</v>
          </cell>
          <cell r="N17">
            <v>335093.52999999997</v>
          </cell>
        </row>
        <row r="18">
          <cell r="E18">
            <v>2241</v>
          </cell>
          <cell r="F18" t="str">
            <v>Beighton Nursery Infant School</v>
          </cell>
          <cell r="G18">
            <v>242</v>
          </cell>
          <cell r="H18">
            <v>0.18181818181818199</v>
          </cell>
          <cell r="I18">
            <v>44.000000000000043</v>
          </cell>
          <cell r="J18">
            <v>17318.400000000016</v>
          </cell>
          <cell r="K18">
            <v>0.18181818181818199</v>
          </cell>
          <cell r="L18">
            <v>44.000000000000043</v>
          </cell>
          <cell r="M18">
            <v>26528.920000000024</v>
          </cell>
          <cell r="N18">
            <v>43847.320000000036</v>
          </cell>
        </row>
        <row r="19">
          <cell r="E19">
            <v>2353</v>
          </cell>
          <cell r="F19" t="str">
            <v>Birley Primary Academy</v>
          </cell>
          <cell r="G19">
            <v>528</v>
          </cell>
          <cell r="H19">
            <v>0.28030303030303</v>
          </cell>
          <cell r="I19">
            <v>147.99999999999983</v>
          </cell>
          <cell r="J19">
            <v>58252.79999999993</v>
          </cell>
          <cell r="K19">
            <v>0.29356060606060602</v>
          </cell>
          <cell r="L19">
            <v>154.99999999999997</v>
          </cell>
          <cell r="M19">
            <v>93454.14999999998</v>
          </cell>
          <cell r="N19">
            <v>151706.9499999999</v>
          </cell>
        </row>
        <row r="20">
          <cell r="E20">
            <v>2323</v>
          </cell>
          <cell r="F20" t="str">
            <v>Birley Spa Primary Academy</v>
          </cell>
          <cell r="G20">
            <v>337</v>
          </cell>
          <cell r="H20">
            <v>0.37091988130563802</v>
          </cell>
          <cell r="I20">
            <v>125.00000000000001</v>
          </cell>
          <cell r="J20">
            <v>49200</v>
          </cell>
          <cell r="K20">
            <v>0.39465875370919901</v>
          </cell>
          <cell r="L20">
            <v>133.00000000000006</v>
          </cell>
          <cell r="M20">
            <v>80189.690000000031</v>
          </cell>
          <cell r="N20">
            <v>129389.69000000003</v>
          </cell>
        </row>
        <row r="21">
          <cell r="E21">
            <v>2328</v>
          </cell>
          <cell r="F21" t="str">
            <v>Bradfield Dungworth Primary School</v>
          </cell>
          <cell r="G21">
            <v>137</v>
          </cell>
          <cell r="H21">
            <v>7.2992700729927001E-2</v>
          </cell>
          <cell r="I21">
            <v>10</v>
          </cell>
          <cell r="J21">
            <v>3935.9999999999995</v>
          </cell>
          <cell r="K21">
            <v>7.2992700729927001E-2</v>
          </cell>
          <cell r="L21">
            <v>10</v>
          </cell>
          <cell r="M21">
            <v>6029.2999999999993</v>
          </cell>
          <cell r="N21">
            <v>9965.2999999999993</v>
          </cell>
        </row>
        <row r="22">
          <cell r="E22">
            <v>2233</v>
          </cell>
          <cell r="F22" t="str">
            <v>Bradway Primary School</v>
          </cell>
          <cell r="G22">
            <v>414</v>
          </cell>
          <cell r="H22">
            <v>0.16666666666666699</v>
          </cell>
          <cell r="I22">
            <v>69.000000000000128</v>
          </cell>
          <cell r="J22">
            <v>27158.400000000049</v>
          </cell>
          <cell r="K22">
            <v>0.16666666666666699</v>
          </cell>
          <cell r="L22">
            <v>69.000000000000128</v>
          </cell>
          <cell r="M22">
            <v>41602.170000000071</v>
          </cell>
          <cell r="N22">
            <v>68760.570000000123</v>
          </cell>
        </row>
        <row r="23">
          <cell r="E23">
            <v>2014</v>
          </cell>
          <cell r="F23" t="str">
            <v>Brightside Nursery and Infant School</v>
          </cell>
          <cell r="G23">
            <v>173</v>
          </cell>
          <cell r="H23">
            <v>0.35260115606936399</v>
          </cell>
          <cell r="I23">
            <v>60.999999999999972</v>
          </cell>
          <cell r="J23">
            <v>24009.599999999988</v>
          </cell>
          <cell r="K23">
            <v>0.35260115606936399</v>
          </cell>
          <cell r="L23">
            <v>60.999999999999972</v>
          </cell>
          <cell r="M23">
            <v>36778.729999999981</v>
          </cell>
          <cell r="N23">
            <v>60788.329999999973</v>
          </cell>
        </row>
        <row r="24">
          <cell r="E24">
            <v>2246</v>
          </cell>
          <cell r="F24" t="str">
            <v>Brook House Junior</v>
          </cell>
          <cell r="G24">
            <v>340</v>
          </cell>
          <cell r="H24">
            <v>0.17058823529411801</v>
          </cell>
          <cell r="I24">
            <v>58.000000000000121</v>
          </cell>
          <cell r="J24">
            <v>22828.800000000047</v>
          </cell>
          <cell r="K24">
            <v>0.185294117647059</v>
          </cell>
          <cell r="L24">
            <v>63.000000000000057</v>
          </cell>
          <cell r="M24">
            <v>37984.590000000033</v>
          </cell>
          <cell r="N24">
            <v>60813.390000000079</v>
          </cell>
        </row>
        <row r="25">
          <cell r="E25">
            <v>5204</v>
          </cell>
          <cell r="F25" t="str">
            <v>Broomhill Infant School</v>
          </cell>
          <cell r="G25">
            <v>119</v>
          </cell>
          <cell r="H25">
            <v>0.10084033613445401</v>
          </cell>
          <cell r="I25">
            <v>12.000000000000027</v>
          </cell>
          <cell r="J25">
            <v>4723.2000000000098</v>
          </cell>
          <cell r="K25">
            <v>0.10084033613445401</v>
          </cell>
          <cell r="L25">
            <v>12.000000000000027</v>
          </cell>
          <cell r="M25">
            <v>7235.1600000000153</v>
          </cell>
          <cell r="N25">
            <v>11958.360000000026</v>
          </cell>
        </row>
        <row r="26">
          <cell r="E26">
            <v>2325</v>
          </cell>
          <cell r="F26" t="str">
            <v>Brunswick Community Primary School</v>
          </cell>
          <cell r="G26">
            <v>417</v>
          </cell>
          <cell r="H26">
            <v>0.34532374100719399</v>
          </cell>
          <cell r="I26">
            <v>143.99999999999989</v>
          </cell>
          <cell r="J26">
            <v>56678.399999999951</v>
          </cell>
          <cell r="K26">
            <v>0.35251798561151099</v>
          </cell>
          <cell r="L26">
            <v>147.00000000000009</v>
          </cell>
          <cell r="M26">
            <v>88630.71000000005</v>
          </cell>
          <cell r="N26">
            <v>145309.10999999999</v>
          </cell>
        </row>
        <row r="27">
          <cell r="E27">
            <v>2095</v>
          </cell>
          <cell r="F27" t="str">
            <v>Byron Wood Primary Academy</v>
          </cell>
          <cell r="G27">
            <v>395</v>
          </cell>
          <cell r="H27">
            <v>0.46075949367088598</v>
          </cell>
          <cell r="I27">
            <v>181.99999999999997</v>
          </cell>
          <cell r="J27">
            <v>71635.199999999983</v>
          </cell>
          <cell r="K27">
            <v>0.481012658227848</v>
          </cell>
          <cell r="L27">
            <v>189.99999999999997</v>
          </cell>
          <cell r="M27">
            <v>114556.69999999997</v>
          </cell>
          <cell r="N27">
            <v>186191.89999999997</v>
          </cell>
        </row>
        <row r="28">
          <cell r="E28">
            <v>2344</v>
          </cell>
          <cell r="F28" t="str">
            <v>Carfield Primary School</v>
          </cell>
          <cell r="G28">
            <v>570</v>
          </cell>
          <cell r="H28">
            <v>0.24736842105263199</v>
          </cell>
          <cell r="I28">
            <v>141.00000000000023</v>
          </cell>
          <cell r="J28">
            <v>55497.600000000086</v>
          </cell>
          <cell r="K28">
            <v>0.256140350877193</v>
          </cell>
          <cell r="L28">
            <v>146</v>
          </cell>
          <cell r="M28">
            <v>88027.78</v>
          </cell>
          <cell r="N28">
            <v>143525.38000000009</v>
          </cell>
        </row>
        <row r="29">
          <cell r="E29">
            <v>2023</v>
          </cell>
          <cell r="F29" t="str">
            <v>Carter Knowle Junior School</v>
          </cell>
          <cell r="G29">
            <v>236</v>
          </cell>
          <cell r="H29">
            <v>0.13135593220339001</v>
          </cell>
          <cell r="I29">
            <v>31.000000000000043</v>
          </cell>
          <cell r="J29">
            <v>12201.600000000015</v>
          </cell>
          <cell r="K29">
            <v>0.13559322033898299</v>
          </cell>
          <cell r="L29">
            <v>31.999999999999986</v>
          </cell>
          <cell r="M29">
            <v>19293.759999999991</v>
          </cell>
          <cell r="N29">
            <v>31495.360000000008</v>
          </cell>
        </row>
        <row r="30">
          <cell r="E30">
            <v>2354</v>
          </cell>
          <cell r="F30" t="str">
            <v>Charnock Hall Primary Academy</v>
          </cell>
          <cell r="G30">
            <v>407</v>
          </cell>
          <cell r="H30">
            <v>0.22113022113022099</v>
          </cell>
          <cell r="I30">
            <v>89.999999999999943</v>
          </cell>
          <cell r="J30">
            <v>35423.999999999978</v>
          </cell>
          <cell r="K30">
            <v>0.23095823095823101</v>
          </cell>
          <cell r="L30">
            <v>94.000000000000014</v>
          </cell>
          <cell r="M30">
            <v>56675.420000000006</v>
          </cell>
          <cell r="N30">
            <v>92099.419999999984</v>
          </cell>
        </row>
        <row r="31">
          <cell r="E31">
            <v>5200</v>
          </cell>
          <cell r="F31" t="str">
            <v>Clifford All Saints CofE Primary School</v>
          </cell>
          <cell r="G31">
            <v>184</v>
          </cell>
          <cell r="H31">
            <v>0.13043478260869601</v>
          </cell>
          <cell r="I31">
            <v>24.000000000000064</v>
          </cell>
          <cell r="J31">
            <v>9446.4000000000251</v>
          </cell>
          <cell r="K31">
            <v>0.13043478260869601</v>
          </cell>
          <cell r="L31">
            <v>24.000000000000064</v>
          </cell>
          <cell r="M31">
            <v>14470.320000000038</v>
          </cell>
          <cell r="N31">
            <v>23916.720000000063</v>
          </cell>
        </row>
        <row r="32">
          <cell r="E32">
            <v>2312</v>
          </cell>
          <cell r="F32" t="str">
            <v>Coit Primary School</v>
          </cell>
          <cell r="G32">
            <v>205</v>
          </cell>
          <cell r="H32">
            <v>0.141463414634146</v>
          </cell>
          <cell r="I32">
            <v>28.999999999999929</v>
          </cell>
          <cell r="J32">
            <v>11414.399999999971</v>
          </cell>
          <cell r="K32">
            <v>0.146341463414634</v>
          </cell>
          <cell r="L32">
            <v>29.999999999999968</v>
          </cell>
          <cell r="M32">
            <v>18087.89999999998</v>
          </cell>
          <cell r="N32">
            <v>29502.299999999952</v>
          </cell>
        </row>
        <row r="33">
          <cell r="E33">
            <v>2026</v>
          </cell>
          <cell r="F33" t="str">
            <v>Concord Junior School</v>
          </cell>
          <cell r="G33">
            <v>198</v>
          </cell>
          <cell r="H33">
            <v>0.48989898989899</v>
          </cell>
          <cell r="I33">
            <v>97.000000000000014</v>
          </cell>
          <cell r="J33">
            <v>38179.200000000004</v>
          </cell>
          <cell r="K33">
            <v>0.49494949494949497</v>
          </cell>
          <cell r="L33">
            <v>98</v>
          </cell>
          <cell r="M33">
            <v>59087.139999999992</v>
          </cell>
          <cell r="N33">
            <v>97266.34</v>
          </cell>
        </row>
        <row r="34">
          <cell r="E34">
            <v>3422</v>
          </cell>
          <cell r="F34" t="str">
            <v>Deepcar St John's Church of England Junior School</v>
          </cell>
          <cell r="G34">
            <v>175</v>
          </cell>
          <cell r="H34">
            <v>0.19428571428571401</v>
          </cell>
          <cell r="I34">
            <v>33.99999999999995</v>
          </cell>
          <cell r="J34">
            <v>13382.39999999998</v>
          </cell>
          <cell r="K34">
            <v>0.217142857142857</v>
          </cell>
          <cell r="L34">
            <v>37.999999999999972</v>
          </cell>
          <cell r="M34">
            <v>22911.339999999982</v>
          </cell>
          <cell r="N34">
            <v>36293.739999999962</v>
          </cell>
        </row>
        <row r="35">
          <cell r="E35">
            <v>2283</v>
          </cell>
          <cell r="F35" t="str">
            <v>Dobcroft Infant School</v>
          </cell>
          <cell r="G35">
            <v>269</v>
          </cell>
          <cell r="H35">
            <v>2.2304832713754601E-2</v>
          </cell>
          <cell r="I35">
            <v>5.9999999999999876</v>
          </cell>
          <cell r="J35">
            <v>2361.5999999999949</v>
          </cell>
          <cell r="K35">
            <v>2.2304832713754601E-2</v>
          </cell>
          <cell r="L35">
            <v>5.9999999999999876</v>
          </cell>
          <cell r="M35">
            <v>3617.5799999999922</v>
          </cell>
          <cell r="N35">
            <v>5979.1799999999876</v>
          </cell>
        </row>
        <row r="36">
          <cell r="E36">
            <v>2239</v>
          </cell>
          <cell r="F36" t="str">
            <v>Dobcroft Junior School</v>
          </cell>
          <cell r="G36">
            <v>382</v>
          </cell>
          <cell r="H36">
            <v>5.2356020942408397E-2</v>
          </cell>
          <cell r="I36">
            <v>20.000000000000007</v>
          </cell>
          <cell r="J36">
            <v>7872.0000000000018</v>
          </cell>
          <cell r="K36">
            <v>5.4973821989528798E-2</v>
          </cell>
          <cell r="L36">
            <v>21</v>
          </cell>
          <cell r="M36">
            <v>12661.529999999999</v>
          </cell>
          <cell r="N36">
            <v>20533.53</v>
          </cell>
        </row>
        <row r="37">
          <cell r="E37">
            <v>2364</v>
          </cell>
          <cell r="F37" t="str">
            <v>Dore Primary School</v>
          </cell>
          <cell r="G37">
            <v>448</v>
          </cell>
          <cell r="H37">
            <v>7.1428571428571397E-2</v>
          </cell>
          <cell r="I37">
            <v>31.999999999999986</v>
          </cell>
          <cell r="J37">
            <v>12595.199999999993</v>
          </cell>
          <cell r="K37">
            <v>7.3660714285714302E-2</v>
          </cell>
          <cell r="L37">
            <v>33.000000000000007</v>
          </cell>
          <cell r="M37">
            <v>19896.690000000002</v>
          </cell>
          <cell r="N37">
            <v>32491.889999999996</v>
          </cell>
        </row>
        <row r="38">
          <cell r="E38">
            <v>2016</v>
          </cell>
          <cell r="F38" t="str">
            <v>E-ACT Pathways Academy</v>
          </cell>
          <cell r="G38">
            <v>365</v>
          </cell>
          <cell r="H38">
            <v>0.58904109589041098</v>
          </cell>
          <cell r="I38">
            <v>215</v>
          </cell>
          <cell r="J38">
            <v>84623.999999999985</v>
          </cell>
          <cell r="K38">
            <v>0.6</v>
          </cell>
          <cell r="L38">
            <v>219</v>
          </cell>
          <cell r="M38">
            <v>132041.66999999998</v>
          </cell>
          <cell r="N38">
            <v>216665.66999999998</v>
          </cell>
        </row>
        <row r="39">
          <cell r="E39">
            <v>2206</v>
          </cell>
          <cell r="F39" t="str">
            <v>Ecclesall Primary School</v>
          </cell>
          <cell r="G39">
            <v>620</v>
          </cell>
          <cell r="H39">
            <v>4.3548387096774201E-2</v>
          </cell>
          <cell r="I39">
            <v>27.000000000000004</v>
          </cell>
          <cell r="J39">
            <v>10627.2</v>
          </cell>
          <cell r="K39">
            <v>5.16129032258065E-2</v>
          </cell>
          <cell r="L39">
            <v>32.000000000000028</v>
          </cell>
          <cell r="M39">
            <v>19293.760000000017</v>
          </cell>
          <cell r="N39">
            <v>29920.960000000017</v>
          </cell>
        </row>
        <row r="40">
          <cell r="E40">
            <v>2080</v>
          </cell>
          <cell r="F40" t="str">
            <v>Ecclesfield Primary School</v>
          </cell>
          <cell r="G40">
            <v>395</v>
          </cell>
          <cell r="H40">
            <v>0.29620253164556998</v>
          </cell>
          <cell r="I40">
            <v>117.00000000000014</v>
          </cell>
          <cell r="J40">
            <v>46051.200000000055</v>
          </cell>
          <cell r="K40">
            <v>0.30126582278481001</v>
          </cell>
          <cell r="L40">
            <v>118.99999999999996</v>
          </cell>
          <cell r="M40">
            <v>71748.669999999969</v>
          </cell>
          <cell r="N40">
            <v>117799.87000000002</v>
          </cell>
        </row>
        <row r="41">
          <cell r="E41">
            <v>2024</v>
          </cell>
          <cell r="F41" t="str">
            <v>Emmanuel Anglican/Methodist Junior School</v>
          </cell>
          <cell r="G41">
            <v>173</v>
          </cell>
          <cell r="H41">
            <v>0.38728323699422001</v>
          </cell>
          <cell r="I41">
            <v>67.000000000000057</v>
          </cell>
          <cell r="J41">
            <v>26371.200000000019</v>
          </cell>
          <cell r="K41">
            <v>0.40462427745664697</v>
          </cell>
          <cell r="L41">
            <v>69.999999999999929</v>
          </cell>
          <cell r="M41">
            <v>42205.099999999955</v>
          </cell>
          <cell r="N41">
            <v>68576.299999999974</v>
          </cell>
        </row>
        <row r="42">
          <cell r="E42">
            <v>2028</v>
          </cell>
          <cell r="F42" t="str">
            <v>Emmaus Catholic and CofE Primary School</v>
          </cell>
          <cell r="G42">
            <v>293</v>
          </cell>
          <cell r="H42">
            <v>0.46075085324232101</v>
          </cell>
          <cell r="I42">
            <v>135.00000000000006</v>
          </cell>
          <cell r="J42">
            <v>53136.000000000015</v>
          </cell>
          <cell r="K42">
            <v>0.47440273037542702</v>
          </cell>
          <cell r="L42">
            <v>139.00000000000011</v>
          </cell>
          <cell r="M42">
            <v>83807.270000000062</v>
          </cell>
          <cell r="N42">
            <v>136943.27000000008</v>
          </cell>
        </row>
        <row r="43">
          <cell r="E43">
            <v>2010</v>
          </cell>
          <cell r="F43" t="str">
            <v>Fox Hill Primary</v>
          </cell>
          <cell r="G43">
            <v>274</v>
          </cell>
          <cell r="H43">
            <v>0.547445255474453</v>
          </cell>
          <cell r="I43">
            <v>150.00000000000011</v>
          </cell>
          <cell r="J43">
            <v>59040.000000000036</v>
          </cell>
          <cell r="K43">
            <v>0.547445255474453</v>
          </cell>
          <cell r="L43">
            <v>150.00000000000011</v>
          </cell>
          <cell r="M43">
            <v>90439.500000000058</v>
          </cell>
          <cell r="N43">
            <v>149479.50000000009</v>
          </cell>
        </row>
        <row r="44">
          <cell r="E44">
            <v>2036</v>
          </cell>
          <cell r="F44" t="str">
            <v>Gleadless Primary School</v>
          </cell>
          <cell r="G44">
            <v>398</v>
          </cell>
          <cell r="H44">
            <v>0.29899497487437199</v>
          </cell>
          <cell r="I44">
            <v>119.00000000000006</v>
          </cell>
          <cell r="J44">
            <v>46838.400000000016</v>
          </cell>
          <cell r="K44">
            <v>0.31155778894472402</v>
          </cell>
          <cell r="L44">
            <v>124.00000000000016</v>
          </cell>
          <cell r="M44">
            <v>74763.320000000094</v>
          </cell>
          <cell r="N44">
            <v>121601.72000000012</v>
          </cell>
        </row>
        <row r="45">
          <cell r="E45">
            <v>2305</v>
          </cell>
          <cell r="F45" t="str">
            <v>Greengate Lane Academy</v>
          </cell>
          <cell r="G45">
            <v>190</v>
          </cell>
          <cell r="H45">
            <v>0.57368421052631602</v>
          </cell>
          <cell r="I45">
            <v>109.00000000000004</v>
          </cell>
          <cell r="J45">
            <v>42902.400000000016</v>
          </cell>
          <cell r="K45">
            <v>0.58947368421052604</v>
          </cell>
          <cell r="L45">
            <v>111.99999999999994</v>
          </cell>
          <cell r="M45">
            <v>67528.15999999996</v>
          </cell>
          <cell r="N45">
            <v>110430.55999999997</v>
          </cell>
        </row>
        <row r="46">
          <cell r="E46">
            <v>2341</v>
          </cell>
          <cell r="F46" t="str">
            <v>Greenhill Primary School</v>
          </cell>
          <cell r="G46">
            <v>468</v>
          </cell>
          <cell r="H46">
            <v>0.35897435897435898</v>
          </cell>
          <cell r="I46">
            <v>168</v>
          </cell>
          <cell r="J46">
            <v>66124.799999999988</v>
          </cell>
          <cell r="K46">
            <v>0.36324786324786301</v>
          </cell>
          <cell r="L46">
            <v>169.99999999999989</v>
          </cell>
          <cell r="M46">
            <v>102498.09999999992</v>
          </cell>
          <cell r="N46">
            <v>168622.89999999991</v>
          </cell>
        </row>
        <row r="47">
          <cell r="E47">
            <v>2296</v>
          </cell>
          <cell r="F47" t="str">
            <v>Grenoside Community Primary School</v>
          </cell>
          <cell r="G47">
            <v>322</v>
          </cell>
          <cell r="H47">
            <v>0.22360248447205</v>
          </cell>
          <cell r="I47">
            <v>72.000000000000099</v>
          </cell>
          <cell r="J47">
            <v>28339.200000000037</v>
          </cell>
          <cell r="K47">
            <v>0.226708074534162</v>
          </cell>
          <cell r="L47">
            <v>73.000000000000171</v>
          </cell>
          <cell r="M47">
            <v>44013.890000000101</v>
          </cell>
          <cell r="N47">
            <v>72353.090000000142</v>
          </cell>
        </row>
        <row r="48">
          <cell r="E48">
            <v>2356</v>
          </cell>
          <cell r="F48" t="str">
            <v>Greystones Primary School</v>
          </cell>
          <cell r="G48">
            <v>613</v>
          </cell>
          <cell r="H48">
            <v>7.1778140293637799E-2</v>
          </cell>
          <cell r="I48">
            <v>43.999999999999972</v>
          </cell>
          <cell r="J48">
            <v>17318.399999999987</v>
          </cell>
          <cell r="K48">
            <v>7.6672104404567704E-2</v>
          </cell>
          <cell r="L48">
            <v>47</v>
          </cell>
          <cell r="M48">
            <v>28337.71</v>
          </cell>
          <cell r="N48">
            <v>45656.109999999986</v>
          </cell>
        </row>
        <row r="49">
          <cell r="E49">
            <v>2279</v>
          </cell>
          <cell r="F49" t="str">
            <v>Halfway Junior School</v>
          </cell>
          <cell r="G49">
            <v>206</v>
          </cell>
          <cell r="H49">
            <v>0.29126213592233002</v>
          </cell>
          <cell r="I49">
            <v>59.999999999999986</v>
          </cell>
          <cell r="J49">
            <v>23615.999999999993</v>
          </cell>
          <cell r="K49">
            <v>0.30097087378640802</v>
          </cell>
          <cell r="L49">
            <v>62.00000000000005</v>
          </cell>
          <cell r="M49">
            <v>37381.660000000025</v>
          </cell>
          <cell r="N49">
            <v>60997.660000000018</v>
          </cell>
        </row>
        <row r="50">
          <cell r="E50">
            <v>2252</v>
          </cell>
          <cell r="F50" t="str">
            <v>Halfway Nursery Infant School</v>
          </cell>
          <cell r="G50">
            <v>157</v>
          </cell>
          <cell r="H50">
            <v>0.31847133757961799</v>
          </cell>
          <cell r="I50">
            <v>50.000000000000021</v>
          </cell>
          <cell r="J50">
            <v>19680.000000000007</v>
          </cell>
          <cell r="K50">
            <v>0.31847133757961799</v>
          </cell>
          <cell r="L50">
            <v>50.000000000000021</v>
          </cell>
          <cell r="M50">
            <v>30146.500000000011</v>
          </cell>
          <cell r="N50">
            <v>49826.500000000015</v>
          </cell>
        </row>
        <row r="51">
          <cell r="E51">
            <v>2357</v>
          </cell>
          <cell r="F51" t="str">
            <v>Hallam Primary School</v>
          </cell>
          <cell r="G51">
            <v>633</v>
          </cell>
          <cell r="H51">
            <v>8.8467614533965205E-2</v>
          </cell>
          <cell r="I51">
            <v>55.999999999999972</v>
          </cell>
          <cell r="J51">
            <v>22041.599999999988</v>
          </cell>
          <cell r="K51">
            <v>8.8467614533965205E-2</v>
          </cell>
          <cell r="L51">
            <v>55.999999999999972</v>
          </cell>
          <cell r="M51">
            <v>33764.07999999998</v>
          </cell>
          <cell r="N51">
            <v>55805.679999999964</v>
          </cell>
        </row>
        <row r="52">
          <cell r="E52">
            <v>2050</v>
          </cell>
          <cell r="F52" t="str">
            <v>Hartley Brook Primary School</v>
          </cell>
          <cell r="G52">
            <v>570</v>
          </cell>
          <cell r="H52">
            <v>0.57192982456140395</v>
          </cell>
          <cell r="I52">
            <v>326.00000000000023</v>
          </cell>
          <cell r="J52">
            <v>128313.60000000008</v>
          </cell>
          <cell r="K52">
            <v>0.58947368421052604</v>
          </cell>
          <cell r="L52">
            <v>335.99999999999983</v>
          </cell>
          <cell r="M52">
            <v>202584.47999999989</v>
          </cell>
          <cell r="N52">
            <v>330898.07999999996</v>
          </cell>
        </row>
        <row r="53">
          <cell r="E53">
            <v>2049</v>
          </cell>
          <cell r="F53" t="str">
            <v>Hatfield Academy</v>
          </cell>
          <cell r="G53">
            <v>374</v>
          </cell>
          <cell r="H53">
            <v>0.59090909090909105</v>
          </cell>
          <cell r="I53">
            <v>221.00000000000006</v>
          </cell>
          <cell r="J53">
            <v>86985.60000000002</v>
          </cell>
          <cell r="K53">
            <v>0.60695187165775399</v>
          </cell>
          <cell r="L53">
            <v>227</v>
          </cell>
          <cell r="M53">
            <v>136865.10999999999</v>
          </cell>
          <cell r="N53">
            <v>223850.71000000002</v>
          </cell>
        </row>
        <row r="54">
          <cell r="E54">
            <v>2297</v>
          </cell>
          <cell r="F54" t="str">
            <v>High Green Primary School</v>
          </cell>
          <cell r="G54">
            <v>194</v>
          </cell>
          <cell r="H54">
            <v>0.149484536082474</v>
          </cell>
          <cell r="I54">
            <v>28.999999999999957</v>
          </cell>
          <cell r="J54">
            <v>11414.399999999981</v>
          </cell>
          <cell r="K54">
            <v>0.15463917525773199</v>
          </cell>
          <cell r="L54">
            <v>30.000000000000007</v>
          </cell>
          <cell r="M54">
            <v>18087.900000000001</v>
          </cell>
          <cell r="N54">
            <v>29502.299999999981</v>
          </cell>
        </row>
        <row r="55">
          <cell r="E55">
            <v>2042</v>
          </cell>
          <cell r="F55" t="str">
            <v>High Hazels Junior School</v>
          </cell>
          <cell r="G55">
            <v>356</v>
          </cell>
          <cell r="H55">
            <v>0.452247191011236</v>
          </cell>
          <cell r="I55">
            <v>161.00000000000003</v>
          </cell>
          <cell r="J55">
            <v>63369.600000000006</v>
          </cell>
          <cell r="K55">
            <v>0.45505617977528101</v>
          </cell>
          <cell r="L55">
            <v>162.00000000000003</v>
          </cell>
          <cell r="M55">
            <v>97674.66</v>
          </cell>
          <cell r="N55">
            <v>161044.26</v>
          </cell>
        </row>
        <row r="56">
          <cell r="E56">
            <v>2039</v>
          </cell>
          <cell r="F56" t="str">
            <v>High Hazels Nursery Infant Academy</v>
          </cell>
          <cell r="G56">
            <v>248</v>
          </cell>
          <cell r="H56">
            <v>0.483870967741936</v>
          </cell>
          <cell r="I56">
            <v>120.00000000000013</v>
          </cell>
          <cell r="J56">
            <v>47232.000000000044</v>
          </cell>
          <cell r="K56">
            <v>0.483870967741936</v>
          </cell>
          <cell r="L56">
            <v>120.00000000000013</v>
          </cell>
          <cell r="M56">
            <v>72351.600000000064</v>
          </cell>
          <cell r="N56">
            <v>119583.60000000011</v>
          </cell>
        </row>
        <row r="57">
          <cell r="E57">
            <v>2339</v>
          </cell>
          <cell r="F57" t="str">
            <v>Hillsborough Primary School</v>
          </cell>
          <cell r="G57">
            <v>340</v>
          </cell>
          <cell r="H57">
            <v>0.438235294117647</v>
          </cell>
          <cell r="I57">
            <v>148.99999999999997</v>
          </cell>
          <cell r="J57">
            <v>58646.399999999987</v>
          </cell>
          <cell r="K57">
            <v>0.45588235294117602</v>
          </cell>
          <cell r="L57">
            <v>154.99999999999986</v>
          </cell>
          <cell r="M57">
            <v>93454.149999999907</v>
          </cell>
          <cell r="N57">
            <v>152100.5499999999</v>
          </cell>
        </row>
        <row r="58">
          <cell r="E58">
            <v>2213</v>
          </cell>
          <cell r="F58" t="str">
            <v>Holt House Infant School</v>
          </cell>
          <cell r="G58">
            <v>179</v>
          </cell>
          <cell r="H58">
            <v>0.14525139664804501</v>
          </cell>
          <cell r="I58">
            <v>26.000000000000057</v>
          </cell>
          <cell r="J58">
            <v>10233.600000000022</v>
          </cell>
          <cell r="K58">
            <v>0.14525139664804501</v>
          </cell>
          <cell r="L58">
            <v>26.000000000000057</v>
          </cell>
          <cell r="M58">
            <v>15676.180000000033</v>
          </cell>
          <cell r="N58">
            <v>25909.780000000057</v>
          </cell>
        </row>
        <row r="59">
          <cell r="E59">
            <v>2337</v>
          </cell>
          <cell r="F59" t="str">
            <v>Hucklow Primary School</v>
          </cell>
          <cell r="G59">
            <v>407</v>
          </cell>
          <cell r="H59">
            <v>0.452088452088452</v>
          </cell>
          <cell r="I59">
            <v>183.99999999999997</v>
          </cell>
          <cell r="J59">
            <v>72422.39999999998</v>
          </cell>
          <cell r="K59">
            <v>0.46191646191646202</v>
          </cell>
          <cell r="L59">
            <v>188.00000000000003</v>
          </cell>
          <cell r="M59">
            <v>113350.84000000001</v>
          </cell>
          <cell r="N59">
            <v>185773.24</v>
          </cell>
        </row>
        <row r="60">
          <cell r="E60">
            <v>2060</v>
          </cell>
          <cell r="F60" t="str">
            <v>Hunter's Bar Infant School</v>
          </cell>
          <cell r="G60">
            <v>269</v>
          </cell>
          <cell r="H60">
            <v>7.0631970260223095E-2</v>
          </cell>
          <cell r="I60">
            <v>19.000000000000014</v>
          </cell>
          <cell r="J60">
            <v>7478.4000000000051</v>
          </cell>
          <cell r="K60">
            <v>7.0631970260223095E-2</v>
          </cell>
          <cell r="L60">
            <v>19.000000000000014</v>
          </cell>
          <cell r="M60">
            <v>11455.670000000007</v>
          </cell>
          <cell r="N60">
            <v>18934.070000000014</v>
          </cell>
        </row>
        <row r="61">
          <cell r="E61">
            <v>2058</v>
          </cell>
          <cell r="F61" t="str">
            <v>Hunter's Bar Junior School</v>
          </cell>
          <cell r="G61">
            <v>362</v>
          </cell>
          <cell r="H61">
            <v>0.143646408839779</v>
          </cell>
          <cell r="I61">
            <v>52</v>
          </cell>
          <cell r="J61">
            <v>20467.199999999997</v>
          </cell>
          <cell r="K61">
            <v>0.143646408839779</v>
          </cell>
          <cell r="L61">
            <v>52</v>
          </cell>
          <cell r="M61">
            <v>31352.359999999997</v>
          </cell>
          <cell r="N61">
            <v>51819.56</v>
          </cell>
        </row>
        <row r="62">
          <cell r="E62">
            <v>2063</v>
          </cell>
          <cell r="F62" t="str">
            <v>Intake Primary School</v>
          </cell>
          <cell r="G62">
            <v>413</v>
          </cell>
          <cell r="H62">
            <v>0.27845036319612598</v>
          </cell>
          <cell r="I62">
            <v>115.00000000000003</v>
          </cell>
          <cell r="J62">
            <v>45264.000000000007</v>
          </cell>
          <cell r="K62">
            <v>0.27845036319612598</v>
          </cell>
          <cell r="L62">
            <v>115.00000000000003</v>
          </cell>
          <cell r="M62">
            <v>69336.950000000012</v>
          </cell>
          <cell r="N62">
            <v>114600.95000000001</v>
          </cell>
        </row>
        <row r="63">
          <cell r="E63">
            <v>2261</v>
          </cell>
          <cell r="F63" t="str">
            <v>Limpsfield Junior School</v>
          </cell>
          <cell r="G63">
            <v>225</v>
          </cell>
          <cell r="H63">
            <v>0.32</v>
          </cell>
          <cell r="I63">
            <v>72</v>
          </cell>
          <cell r="J63">
            <v>28339.199999999997</v>
          </cell>
          <cell r="K63">
            <v>0.34666666666666701</v>
          </cell>
          <cell r="L63">
            <v>78.000000000000071</v>
          </cell>
          <cell r="M63">
            <v>47028.540000000037</v>
          </cell>
          <cell r="N63">
            <v>75367.740000000034</v>
          </cell>
        </row>
        <row r="64">
          <cell r="E64">
            <v>2315</v>
          </cell>
          <cell r="F64" t="str">
            <v>Lound Infant School</v>
          </cell>
          <cell r="G64">
            <v>148</v>
          </cell>
          <cell r="H64">
            <v>0.195945945945946</v>
          </cell>
          <cell r="I64">
            <v>29.000000000000007</v>
          </cell>
          <cell r="J64">
            <v>11414.400000000001</v>
          </cell>
          <cell r="K64">
            <v>0.20270270270270299</v>
          </cell>
          <cell r="L64">
            <v>30.000000000000043</v>
          </cell>
          <cell r="M64">
            <v>18087.900000000023</v>
          </cell>
          <cell r="N64">
            <v>29502.300000000025</v>
          </cell>
        </row>
        <row r="65">
          <cell r="E65">
            <v>2298</v>
          </cell>
          <cell r="F65" t="str">
            <v>Lound Junior School</v>
          </cell>
          <cell r="G65">
            <v>211</v>
          </cell>
          <cell r="H65">
            <v>0.127962085308057</v>
          </cell>
          <cell r="I65">
            <v>27.000000000000028</v>
          </cell>
          <cell r="J65">
            <v>10627.20000000001</v>
          </cell>
          <cell r="K65">
            <v>0.13270142180094799</v>
          </cell>
          <cell r="L65">
            <v>28.000000000000025</v>
          </cell>
          <cell r="M65">
            <v>16882.040000000012</v>
          </cell>
          <cell r="N65">
            <v>27509.24000000002</v>
          </cell>
        </row>
        <row r="66">
          <cell r="E66">
            <v>2029</v>
          </cell>
          <cell r="F66" t="str">
            <v>Lowedges Junior Academy</v>
          </cell>
          <cell r="G66">
            <v>299</v>
          </cell>
          <cell r="H66">
            <v>0.69899665551839496</v>
          </cell>
          <cell r="I66">
            <v>209.00000000000009</v>
          </cell>
          <cell r="J66">
            <v>82262.400000000023</v>
          </cell>
          <cell r="K66">
            <v>0.70568561872909696</v>
          </cell>
          <cell r="L66">
            <v>211</v>
          </cell>
          <cell r="M66">
            <v>127218.23</v>
          </cell>
          <cell r="N66">
            <v>209480.63</v>
          </cell>
        </row>
        <row r="67">
          <cell r="E67">
            <v>2045</v>
          </cell>
          <cell r="F67" t="str">
            <v>Lower Meadow Primary School</v>
          </cell>
          <cell r="G67">
            <v>259</v>
          </cell>
          <cell r="H67">
            <v>0.71042471042471</v>
          </cell>
          <cell r="I67">
            <v>183.99999999999989</v>
          </cell>
          <cell r="J67">
            <v>72422.399999999951</v>
          </cell>
          <cell r="K67">
            <v>0.72200772200772201</v>
          </cell>
          <cell r="L67">
            <v>187</v>
          </cell>
          <cell r="M67">
            <v>112747.90999999999</v>
          </cell>
          <cell r="N67">
            <v>185170.30999999994</v>
          </cell>
        </row>
        <row r="68">
          <cell r="E68">
            <v>2070</v>
          </cell>
          <cell r="F68" t="str">
            <v>Lowfield Community Primary School</v>
          </cell>
          <cell r="G68">
            <v>379</v>
          </cell>
          <cell r="H68">
            <v>0.41424802110817899</v>
          </cell>
          <cell r="I68">
            <v>156.99999999999983</v>
          </cell>
          <cell r="J68">
            <v>61795.199999999924</v>
          </cell>
          <cell r="K68">
            <v>0.43535620052770402</v>
          </cell>
          <cell r="L68">
            <v>164.99999999999983</v>
          </cell>
          <cell r="M68">
            <v>99483.449999999895</v>
          </cell>
          <cell r="N68">
            <v>161278.64999999982</v>
          </cell>
        </row>
        <row r="69">
          <cell r="E69">
            <v>2292</v>
          </cell>
          <cell r="F69" t="str">
            <v>Loxley Primary School</v>
          </cell>
          <cell r="G69">
            <v>210</v>
          </cell>
          <cell r="H69">
            <v>9.5238095238095205E-2</v>
          </cell>
          <cell r="I69">
            <v>19.999999999999993</v>
          </cell>
          <cell r="J69">
            <v>7871.9999999999964</v>
          </cell>
          <cell r="K69">
            <v>9.5238095238095205E-2</v>
          </cell>
          <cell r="L69">
            <v>19.999999999999993</v>
          </cell>
          <cell r="M69">
            <v>12058.599999999995</v>
          </cell>
          <cell r="N69">
            <v>19930.599999999991</v>
          </cell>
        </row>
        <row r="70">
          <cell r="E70">
            <v>2072</v>
          </cell>
          <cell r="F70" t="str">
            <v>Lydgate Infant School</v>
          </cell>
          <cell r="G70">
            <v>344</v>
          </cell>
          <cell r="H70">
            <v>7.5581395348837205E-2</v>
          </cell>
          <cell r="I70">
            <v>26</v>
          </cell>
          <cell r="J70">
            <v>10233.599999999999</v>
          </cell>
          <cell r="K70">
            <v>7.5581395348837205E-2</v>
          </cell>
          <cell r="L70">
            <v>26</v>
          </cell>
          <cell r="M70">
            <v>15676.179999999998</v>
          </cell>
          <cell r="N70">
            <v>25909.78</v>
          </cell>
        </row>
        <row r="71">
          <cell r="E71">
            <v>2071</v>
          </cell>
          <cell r="F71" t="str">
            <v>Lydgate Junior School</v>
          </cell>
          <cell r="G71">
            <v>479</v>
          </cell>
          <cell r="H71">
            <v>0.11482254697286</v>
          </cell>
          <cell r="I71">
            <v>54.999999999999936</v>
          </cell>
          <cell r="J71">
            <v>21647.999999999975</v>
          </cell>
          <cell r="K71">
            <v>0.125260960334029</v>
          </cell>
          <cell r="L71">
            <v>59.999999999999893</v>
          </cell>
          <cell r="M71">
            <v>36175.79999999993</v>
          </cell>
          <cell r="N71">
            <v>57823.799999999901</v>
          </cell>
        </row>
        <row r="72">
          <cell r="E72">
            <v>2358</v>
          </cell>
          <cell r="F72" t="str">
            <v>Malin Bridge Primary School</v>
          </cell>
          <cell r="G72">
            <v>517</v>
          </cell>
          <cell r="H72">
            <v>0.18568665377176</v>
          </cell>
          <cell r="I72">
            <v>95.999999999999915</v>
          </cell>
          <cell r="J72">
            <v>37785.599999999962</v>
          </cell>
          <cell r="K72">
            <v>0.18762088974854901</v>
          </cell>
          <cell r="L72">
            <v>96.999999999999844</v>
          </cell>
          <cell r="M72">
            <v>58484.209999999897</v>
          </cell>
          <cell r="N72">
            <v>96269.809999999852</v>
          </cell>
        </row>
        <row r="73">
          <cell r="E73">
            <v>2359</v>
          </cell>
          <cell r="F73" t="str">
            <v>Manor Lodge Community Primary and Nursery School</v>
          </cell>
          <cell r="G73">
            <v>333</v>
          </cell>
          <cell r="H73">
            <v>0.45645645645645599</v>
          </cell>
          <cell r="I73">
            <v>151.99999999999986</v>
          </cell>
          <cell r="J73">
            <v>59827.199999999939</v>
          </cell>
          <cell r="K73">
            <v>0.47747747747747699</v>
          </cell>
          <cell r="L73">
            <v>158.99999999999983</v>
          </cell>
          <cell r="M73">
            <v>95865.869999999893</v>
          </cell>
          <cell r="N73">
            <v>155693.06999999983</v>
          </cell>
        </row>
        <row r="74">
          <cell r="E74">
            <v>2012</v>
          </cell>
          <cell r="F74" t="str">
            <v>Mansel Primary</v>
          </cell>
          <cell r="G74">
            <v>399</v>
          </cell>
          <cell r="H74">
            <v>0.54636591478696706</v>
          </cell>
          <cell r="I74">
            <v>217.99999999999986</v>
          </cell>
          <cell r="J74">
            <v>85804.79999999993</v>
          </cell>
          <cell r="K74">
            <v>0.558897243107769</v>
          </cell>
          <cell r="L74">
            <v>222.99999999999983</v>
          </cell>
          <cell r="M74">
            <v>134453.3899999999</v>
          </cell>
          <cell r="N74">
            <v>220258.18999999983</v>
          </cell>
        </row>
        <row r="75">
          <cell r="E75">
            <v>2079</v>
          </cell>
          <cell r="F75" t="str">
            <v>Marlcliffe Community Primary School</v>
          </cell>
          <cell r="G75">
            <v>501</v>
          </cell>
          <cell r="H75">
            <v>0.155688622754491</v>
          </cell>
          <cell r="I75">
            <v>77.999999999999986</v>
          </cell>
          <cell r="J75">
            <v>30700.799999999992</v>
          </cell>
          <cell r="K75">
            <v>0.16367265469061901</v>
          </cell>
          <cell r="L75">
            <v>82.000000000000128</v>
          </cell>
          <cell r="M75">
            <v>49440.260000000075</v>
          </cell>
          <cell r="N75">
            <v>80141.06000000007</v>
          </cell>
        </row>
        <row r="76">
          <cell r="E76">
            <v>2081</v>
          </cell>
          <cell r="F76" t="str">
            <v>Meersbrook Bank Primary School</v>
          </cell>
          <cell r="G76">
            <v>207</v>
          </cell>
          <cell r="H76">
            <v>0.11111111111111099</v>
          </cell>
          <cell r="I76">
            <v>22.999999999999975</v>
          </cell>
          <cell r="J76">
            <v>9052.7999999999902</v>
          </cell>
          <cell r="K76">
            <v>0.11111111111111099</v>
          </cell>
          <cell r="L76">
            <v>22.999999999999975</v>
          </cell>
          <cell r="M76">
            <v>13867.389999999983</v>
          </cell>
          <cell r="N76">
            <v>22920.189999999973</v>
          </cell>
        </row>
        <row r="77">
          <cell r="E77">
            <v>2013</v>
          </cell>
          <cell r="F77" t="str">
            <v>Meynell Community Primary School</v>
          </cell>
          <cell r="G77">
            <v>368</v>
          </cell>
          <cell r="H77">
            <v>0.72010869565217395</v>
          </cell>
          <cell r="I77">
            <v>265</v>
          </cell>
          <cell r="J77">
            <v>104303.99999999999</v>
          </cell>
          <cell r="K77">
            <v>0.72826086956521696</v>
          </cell>
          <cell r="L77">
            <v>267.99999999999983</v>
          </cell>
          <cell r="M77">
            <v>161585.23999999987</v>
          </cell>
          <cell r="N77">
            <v>265889.23999999987</v>
          </cell>
        </row>
        <row r="78">
          <cell r="E78">
            <v>2346</v>
          </cell>
          <cell r="F78" t="str">
            <v>Monteney Primary School</v>
          </cell>
          <cell r="G78">
            <v>404</v>
          </cell>
          <cell r="H78">
            <v>0.316831683168317</v>
          </cell>
          <cell r="I78">
            <v>128.00000000000006</v>
          </cell>
          <cell r="J78">
            <v>50380.800000000017</v>
          </cell>
          <cell r="K78">
            <v>0.32673267326732702</v>
          </cell>
          <cell r="L78">
            <v>132.00000000000011</v>
          </cell>
          <cell r="M78">
            <v>79586.760000000068</v>
          </cell>
          <cell r="N78">
            <v>129967.56000000008</v>
          </cell>
        </row>
        <row r="79">
          <cell r="E79">
            <v>2257</v>
          </cell>
          <cell r="F79" t="str">
            <v>Mosborough Primary School</v>
          </cell>
          <cell r="G79">
            <v>418</v>
          </cell>
          <cell r="H79">
            <v>0.155502392344498</v>
          </cell>
          <cell r="I79">
            <v>65.000000000000171</v>
          </cell>
          <cell r="J79">
            <v>25584.000000000065</v>
          </cell>
          <cell r="K79">
            <v>0.155502392344498</v>
          </cell>
          <cell r="L79">
            <v>65.000000000000171</v>
          </cell>
          <cell r="M79">
            <v>39190.450000000099</v>
          </cell>
          <cell r="N79">
            <v>64774.450000000164</v>
          </cell>
        </row>
        <row r="80">
          <cell r="E80">
            <v>2092</v>
          </cell>
          <cell r="F80" t="str">
            <v>Mundella Primary School</v>
          </cell>
          <cell r="G80">
            <v>416</v>
          </cell>
          <cell r="H80">
            <v>0.12980769230769201</v>
          </cell>
          <cell r="I80">
            <v>53.999999999999879</v>
          </cell>
          <cell r="J80">
            <v>21254.399999999951</v>
          </cell>
          <cell r="K80">
            <v>0.137019230769231</v>
          </cell>
          <cell r="L80">
            <v>57.000000000000099</v>
          </cell>
          <cell r="M80">
            <v>34367.01000000006</v>
          </cell>
          <cell r="N80">
            <v>55621.410000000011</v>
          </cell>
        </row>
        <row r="81">
          <cell r="E81">
            <v>2002</v>
          </cell>
          <cell r="F81" t="str">
            <v>Nether Edge Primary School</v>
          </cell>
          <cell r="G81">
            <v>419</v>
          </cell>
          <cell r="H81">
            <v>0.250596658711217</v>
          </cell>
          <cell r="I81">
            <v>104.99999999999993</v>
          </cell>
          <cell r="J81">
            <v>41327.999999999971</v>
          </cell>
          <cell r="K81">
            <v>0.26252983293556098</v>
          </cell>
          <cell r="L81">
            <v>110.00000000000006</v>
          </cell>
          <cell r="M81">
            <v>66322.300000000032</v>
          </cell>
          <cell r="N81">
            <v>107650.3</v>
          </cell>
        </row>
        <row r="82">
          <cell r="E82">
            <v>2221</v>
          </cell>
          <cell r="F82" t="str">
            <v>Nether Green Infant School</v>
          </cell>
          <cell r="G82">
            <v>223</v>
          </cell>
          <cell r="H82">
            <v>5.3811659192825101E-2</v>
          </cell>
          <cell r="I82">
            <v>11.999999999999998</v>
          </cell>
          <cell r="J82">
            <v>4723.1999999999989</v>
          </cell>
          <cell r="K82">
            <v>5.3811659192825101E-2</v>
          </cell>
          <cell r="L82">
            <v>11.999999999999998</v>
          </cell>
          <cell r="M82">
            <v>7235.159999999998</v>
          </cell>
          <cell r="N82">
            <v>11958.359999999997</v>
          </cell>
        </row>
        <row r="83">
          <cell r="E83">
            <v>2087</v>
          </cell>
          <cell r="F83" t="str">
            <v>Nether Green Junior School</v>
          </cell>
          <cell r="G83">
            <v>377</v>
          </cell>
          <cell r="H83">
            <v>0.10610079575596799</v>
          </cell>
          <cell r="I83">
            <v>39.999999999999936</v>
          </cell>
          <cell r="J83">
            <v>15743.999999999973</v>
          </cell>
          <cell r="K83">
            <v>0.108753315649867</v>
          </cell>
          <cell r="L83">
            <v>40.999999999999858</v>
          </cell>
          <cell r="M83">
            <v>24720.129999999914</v>
          </cell>
          <cell r="N83">
            <v>40464.129999999888</v>
          </cell>
        </row>
        <row r="84">
          <cell r="E84">
            <v>2272</v>
          </cell>
          <cell r="F84" t="str">
            <v>Netherthorpe Primary School</v>
          </cell>
          <cell r="G84">
            <v>217</v>
          </cell>
          <cell r="H84">
            <v>0.50230414746543794</v>
          </cell>
          <cell r="I84">
            <v>109.00000000000003</v>
          </cell>
          <cell r="J84">
            <v>42902.400000000009</v>
          </cell>
          <cell r="K84">
            <v>0.51152073732718895</v>
          </cell>
          <cell r="L84">
            <v>111</v>
          </cell>
          <cell r="M84">
            <v>66925.23</v>
          </cell>
          <cell r="N84">
            <v>109827.63</v>
          </cell>
        </row>
        <row r="85">
          <cell r="E85">
            <v>2309</v>
          </cell>
          <cell r="F85" t="str">
            <v>Nook Lane Junior School</v>
          </cell>
          <cell r="G85">
            <v>243</v>
          </cell>
          <cell r="H85">
            <v>0.10699588477366299</v>
          </cell>
          <cell r="I85">
            <v>26.000000000000107</v>
          </cell>
          <cell r="J85">
            <v>10233.60000000004</v>
          </cell>
          <cell r="K85">
            <v>0.11111111111111099</v>
          </cell>
          <cell r="L85">
            <v>26.999999999999972</v>
          </cell>
          <cell r="M85">
            <v>16279.109999999982</v>
          </cell>
          <cell r="N85">
            <v>26512.710000000021</v>
          </cell>
        </row>
        <row r="86">
          <cell r="E86">
            <v>2051</v>
          </cell>
          <cell r="F86" t="str">
            <v>Norfolk Community Primary School</v>
          </cell>
          <cell r="G86">
            <v>384</v>
          </cell>
          <cell r="H86">
            <v>0.5703125</v>
          </cell>
          <cell r="I86">
            <v>219</v>
          </cell>
          <cell r="J86">
            <v>86198.399999999994</v>
          </cell>
          <cell r="K86">
            <v>0.58333333333333304</v>
          </cell>
          <cell r="L86">
            <v>223.99999999999989</v>
          </cell>
          <cell r="M86">
            <v>135056.31999999992</v>
          </cell>
          <cell r="N86">
            <v>221254.71999999991</v>
          </cell>
        </row>
        <row r="87">
          <cell r="E87">
            <v>3010</v>
          </cell>
          <cell r="F87" t="str">
            <v>Norton Free Church of England Primary School</v>
          </cell>
          <cell r="G87">
            <v>213</v>
          </cell>
          <cell r="H87">
            <v>0.107981220657277</v>
          </cell>
          <cell r="I87">
            <v>23</v>
          </cell>
          <cell r="J87">
            <v>9052.7999999999993</v>
          </cell>
          <cell r="K87">
            <v>0.117370892018779</v>
          </cell>
          <cell r="L87">
            <v>24.999999999999925</v>
          </cell>
          <cell r="M87">
            <v>15073.249999999955</v>
          </cell>
          <cell r="N87">
            <v>24126.049999999952</v>
          </cell>
        </row>
        <row r="88">
          <cell r="E88">
            <v>2018</v>
          </cell>
          <cell r="F88" t="str">
            <v>Oasis Academy Fir Vale</v>
          </cell>
          <cell r="G88">
            <v>407</v>
          </cell>
          <cell r="H88">
            <v>0.75675675675675702</v>
          </cell>
          <cell r="I88">
            <v>308.00000000000011</v>
          </cell>
          <cell r="J88">
            <v>121228.80000000003</v>
          </cell>
          <cell r="K88">
            <v>0.78132678132678102</v>
          </cell>
          <cell r="L88">
            <v>317.99999999999989</v>
          </cell>
          <cell r="M88">
            <v>191731.7399999999</v>
          </cell>
          <cell r="N88">
            <v>312960.53999999992</v>
          </cell>
        </row>
        <row r="89">
          <cell r="E89">
            <v>2019</v>
          </cell>
          <cell r="F89" t="str">
            <v>Oasis Academy Watermead</v>
          </cell>
          <cell r="G89">
            <v>380</v>
          </cell>
          <cell r="H89">
            <v>0.50263157894736799</v>
          </cell>
          <cell r="I89">
            <v>190.99999999999983</v>
          </cell>
          <cell r="J89">
            <v>75177.599999999933</v>
          </cell>
          <cell r="K89">
            <v>0.51315789473684204</v>
          </cell>
          <cell r="L89">
            <v>194.99999999999997</v>
          </cell>
          <cell r="M89">
            <v>117571.34999999998</v>
          </cell>
          <cell r="N89">
            <v>192748.9499999999</v>
          </cell>
        </row>
        <row r="90">
          <cell r="E90">
            <v>2313</v>
          </cell>
          <cell r="F90" t="str">
            <v>Oughtibridge Primary School</v>
          </cell>
          <cell r="G90">
            <v>417</v>
          </cell>
          <cell r="H90">
            <v>8.3932853717026398E-2</v>
          </cell>
          <cell r="I90">
            <v>35.000000000000007</v>
          </cell>
          <cell r="J90">
            <v>13776.000000000002</v>
          </cell>
          <cell r="K90">
            <v>8.6330935251798593E-2</v>
          </cell>
          <cell r="L90">
            <v>36.000000000000014</v>
          </cell>
          <cell r="M90">
            <v>21705.480000000007</v>
          </cell>
          <cell r="N90">
            <v>35481.48000000001</v>
          </cell>
        </row>
        <row r="91">
          <cell r="E91">
            <v>2093</v>
          </cell>
          <cell r="F91" t="str">
            <v>Owler Brook Primary School</v>
          </cell>
          <cell r="G91">
            <v>400</v>
          </cell>
          <cell r="H91">
            <v>0.59499999999999997</v>
          </cell>
          <cell r="I91">
            <v>238</v>
          </cell>
          <cell r="J91">
            <v>93676.799999999988</v>
          </cell>
          <cell r="K91">
            <v>0.60750000000000004</v>
          </cell>
          <cell r="L91">
            <v>243.00000000000003</v>
          </cell>
          <cell r="M91">
            <v>146511.99</v>
          </cell>
          <cell r="N91">
            <v>240188.78999999998</v>
          </cell>
        </row>
        <row r="92">
          <cell r="E92">
            <v>3428</v>
          </cell>
          <cell r="F92" t="str">
            <v>Parson Cross Church of England Primary School</v>
          </cell>
          <cell r="G92">
            <v>203</v>
          </cell>
          <cell r="H92">
            <v>0.25123152709359597</v>
          </cell>
          <cell r="I92">
            <v>50.999999999999986</v>
          </cell>
          <cell r="J92">
            <v>20073.599999999991</v>
          </cell>
          <cell r="K92">
            <v>0.26108374384236499</v>
          </cell>
          <cell r="L92">
            <v>53.000000000000092</v>
          </cell>
          <cell r="M92">
            <v>31955.290000000052</v>
          </cell>
          <cell r="N92">
            <v>52028.890000000043</v>
          </cell>
        </row>
        <row r="93">
          <cell r="E93">
            <v>2332</v>
          </cell>
          <cell r="F93" t="str">
            <v>Phillimore Community Primary School</v>
          </cell>
          <cell r="G93">
            <v>388</v>
          </cell>
          <cell r="H93">
            <v>0.57474226804123696</v>
          </cell>
          <cell r="I93">
            <v>222.99999999999994</v>
          </cell>
          <cell r="J93">
            <v>87772.799999999974</v>
          </cell>
          <cell r="K93">
            <v>0.59020618556700999</v>
          </cell>
          <cell r="L93">
            <v>228.99999999999989</v>
          </cell>
          <cell r="M93">
            <v>138070.96999999991</v>
          </cell>
          <cell r="N93">
            <v>225843.7699999999</v>
          </cell>
        </row>
        <row r="94">
          <cell r="E94">
            <v>3433</v>
          </cell>
          <cell r="F94" t="str">
            <v>Pipworth Community Primary School</v>
          </cell>
          <cell r="G94">
            <v>394</v>
          </cell>
          <cell r="H94">
            <v>0.58883248730964499</v>
          </cell>
          <cell r="I94">
            <v>232.00000000000011</v>
          </cell>
          <cell r="J94">
            <v>91315.200000000041</v>
          </cell>
          <cell r="K94">
            <v>0.60913705583756395</v>
          </cell>
          <cell r="L94">
            <v>240.0000000000002</v>
          </cell>
          <cell r="M94">
            <v>144703.2000000001</v>
          </cell>
          <cell r="N94">
            <v>236018.40000000014</v>
          </cell>
        </row>
        <row r="95">
          <cell r="E95">
            <v>3427</v>
          </cell>
          <cell r="F95" t="str">
            <v>Porter Croft Church of England Primary Academy</v>
          </cell>
          <cell r="G95">
            <v>214</v>
          </cell>
          <cell r="H95">
            <v>0.34579439252336402</v>
          </cell>
          <cell r="I95">
            <v>73.999999999999901</v>
          </cell>
          <cell r="J95">
            <v>29126.399999999958</v>
          </cell>
          <cell r="K95">
            <v>0.37850467289719603</v>
          </cell>
          <cell r="L95">
            <v>80.999999999999943</v>
          </cell>
          <cell r="M95">
            <v>48837.329999999958</v>
          </cell>
          <cell r="N95">
            <v>77963.729999999923</v>
          </cell>
        </row>
        <row r="96">
          <cell r="E96">
            <v>2347</v>
          </cell>
          <cell r="F96" t="str">
            <v>Prince Edward Primary School</v>
          </cell>
          <cell r="G96">
            <v>407</v>
          </cell>
          <cell r="H96">
            <v>0.52088452088452097</v>
          </cell>
          <cell r="I96">
            <v>212.00000000000003</v>
          </cell>
          <cell r="J96">
            <v>83443.199999999997</v>
          </cell>
          <cell r="K96">
            <v>0.54545454545454497</v>
          </cell>
          <cell r="L96">
            <v>221.9999999999998</v>
          </cell>
          <cell r="M96">
            <v>133850.45999999988</v>
          </cell>
          <cell r="N96">
            <v>217293.65999999986</v>
          </cell>
        </row>
        <row r="97">
          <cell r="E97">
            <v>2366</v>
          </cell>
          <cell r="F97" t="str">
            <v>Pye Bank CofE Primary School</v>
          </cell>
          <cell r="G97">
            <v>423</v>
          </cell>
          <cell r="H97">
            <v>0.54373522458628798</v>
          </cell>
          <cell r="I97">
            <v>229.99999999999983</v>
          </cell>
          <cell r="J97">
            <v>90527.999999999927</v>
          </cell>
          <cell r="K97">
            <v>0.54846335697399495</v>
          </cell>
          <cell r="L97">
            <v>231.99999999999986</v>
          </cell>
          <cell r="M97">
            <v>139879.75999999989</v>
          </cell>
          <cell r="N97">
            <v>230407.75999999983</v>
          </cell>
        </row>
        <row r="98">
          <cell r="E98">
            <v>2363</v>
          </cell>
          <cell r="F98" t="str">
            <v>Rainbow Forge Primary Academy</v>
          </cell>
          <cell r="G98">
            <v>297</v>
          </cell>
          <cell r="H98">
            <v>0.46464646464646497</v>
          </cell>
          <cell r="I98">
            <v>138.00000000000009</v>
          </cell>
          <cell r="J98">
            <v>54316.800000000032</v>
          </cell>
          <cell r="K98">
            <v>0.47138047138047101</v>
          </cell>
          <cell r="L98">
            <v>139.99999999999989</v>
          </cell>
          <cell r="M98">
            <v>84410.199999999924</v>
          </cell>
          <cell r="N98">
            <v>138726.99999999994</v>
          </cell>
        </row>
        <row r="99">
          <cell r="E99">
            <v>2334</v>
          </cell>
          <cell r="F99" t="str">
            <v>Reignhead Primary School</v>
          </cell>
          <cell r="G99">
            <v>244</v>
          </cell>
          <cell r="H99">
            <v>0.33196721311475402</v>
          </cell>
          <cell r="I99">
            <v>80.999999999999986</v>
          </cell>
          <cell r="J99">
            <v>31881.599999999991</v>
          </cell>
          <cell r="K99">
            <v>0.34426229508196698</v>
          </cell>
          <cell r="L99">
            <v>83.999999999999943</v>
          </cell>
          <cell r="M99">
            <v>50646.119999999959</v>
          </cell>
          <cell r="N99">
            <v>82527.719999999943</v>
          </cell>
        </row>
        <row r="100">
          <cell r="E100">
            <v>2338</v>
          </cell>
          <cell r="F100" t="str">
            <v>Rivelin Primary School</v>
          </cell>
          <cell r="G100">
            <v>351</v>
          </cell>
          <cell r="H100">
            <v>0.17663817663817699</v>
          </cell>
          <cell r="I100">
            <v>62.000000000000121</v>
          </cell>
          <cell r="J100">
            <v>24403.200000000044</v>
          </cell>
          <cell r="K100">
            <v>0.190883190883191</v>
          </cell>
          <cell r="L100">
            <v>67.000000000000043</v>
          </cell>
          <cell r="M100">
            <v>40396.310000000019</v>
          </cell>
          <cell r="N100">
            <v>64799.510000000068</v>
          </cell>
        </row>
        <row r="101">
          <cell r="E101">
            <v>2306</v>
          </cell>
          <cell r="F101" t="str">
            <v>Royd Nursery and Infant School</v>
          </cell>
          <cell r="G101">
            <v>122</v>
          </cell>
          <cell r="H101">
            <v>0.25409836065573799</v>
          </cell>
          <cell r="I101">
            <v>31.000000000000036</v>
          </cell>
          <cell r="J101">
            <v>12201.600000000013</v>
          </cell>
          <cell r="K101">
            <v>0.25409836065573799</v>
          </cell>
          <cell r="L101">
            <v>31.000000000000036</v>
          </cell>
          <cell r="M101">
            <v>18690.83000000002</v>
          </cell>
          <cell r="N101">
            <v>30892.430000000033</v>
          </cell>
        </row>
        <row r="102">
          <cell r="E102">
            <v>3401</v>
          </cell>
          <cell r="F102" t="str">
            <v>Sacred Heart School, A Catholic Voluntary Academy</v>
          </cell>
          <cell r="G102">
            <v>200</v>
          </cell>
          <cell r="H102">
            <v>0.17499999999999999</v>
          </cell>
          <cell r="I102">
            <v>35</v>
          </cell>
          <cell r="J102">
            <v>13775.999999999998</v>
          </cell>
          <cell r="K102">
            <v>0.19</v>
          </cell>
          <cell r="L102">
            <v>38</v>
          </cell>
          <cell r="M102">
            <v>22911.339999999997</v>
          </cell>
          <cell r="N102">
            <v>36687.339999999997</v>
          </cell>
        </row>
        <row r="103">
          <cell r="E103">
            <v>2369</v>
          </cell>
          <cell r="F103" t="str">
            <v>Sharrow Nursery, Infant and Junior School</v>
          </cell>
          <cell r="G103">
            <v>417</v>
          </cell>
          <cell r="H103">
            <v>0.38129496402877699</v>
          </cell>
          <cell r="I103">
            <v>159</v>
          </cell>
          <cell r="J103">
            <v>62582.399999999994</v>
          </cell>
          <cell r="K103">
            <v>0.390887290167866</v>
          </cell>
          <cell r="L103">
            <v>163.00000000000011</v>
          </cell>
          <cell r="M103">
            <v>98277.590000000055</v>
          </cell>
          <cell r="N103">
            <v>160859.99000000005</v>
          </cell>
        </row>
        <row r="104">
          <cell r="E104">
            <v>2349</v>
          </cell>
          <cell r="F104" t="str">
            <v>Shooter's Grove Primary School</v>
          </cell>
          <cell r="G104">
            <v>359</v>
          </cell>
          <cell r="H104">
            <v>0.23955431754874701</v>
          </cell>
          <cell r="I104">
            <v>86.000000000000171</v>
          </cell>
          <cell r="J104">
            <v>33849.600000000064</v>
          </cell>
          <cell r="K104">
            <v>0.250696378830084</v>
          </cell>
          <cell r="L104">
            <v>90.000000000000156</v>
          </cell>
          <cell r="M104">
            <v>54263.700000000092</v>
          </cell>
          <cell r="N104">
            <v>88113.300000000163</v>
          </cell>
        </row>
        <row r="105">
          <cell r="E105">
            <v>2360</v>
          </cell>
          <cell r="F105" t="str">
            <v>Shortbrook Primary School</v>
          </cell>
          <cell r="G105">
            <v>84</v>
          </cell>
          <cell r="H105">
            <v>0.65476190476190499</v>
          </cell>
          <cell r="I105">
            <v>55.000000000000021</v>
          </cell>
          <cell r="J105">
            <v>21648.000000000007</v>
          </cell>
          <cell r="K105">
            <v>0.65476190476190499</v>
          </cell>
          <cell r="L105">
            <v>55.000000000000021</v>
          </cell>
          <cell r="M105">
            <v>33161.150000000009</v>
          </cell>
          <cell r="N105">
            <v>54809.150000000016</v>
          </cell>
        </row>
        <row r="106">
          <cell r="E106">
            <v>2009</v>
          </cell>
          <cell r="F106" t="str">
            <v>Southey Green Primary School and Nurseries</v>
          </cell>
          <cell r="G106">
            <v>611</v>
          </cell>
          <cell r="H106">
            <v>0.54991816693944395</v>
          </cell>
          <cell r="I106">
            <v>336.00000000000023</v>
          </cell>
          <cell r="J106">
            <v>132249.60000000006</v>
          </cell>
          <cell r="K106">
            <v>0.57119476268412395</v>
          </cell>
          <cell r="L106">
            <v>348.99999999999972</v>
          </cell>
          <cell r="M106">
            <v>210422.5699999998</v>
          </cell>
          <cell r="N106">
            <v>342672.16999999987</v>
          </cell>
        </row>
        <row r="107">
          <cell r="E107">
            <v>2329</v>
          </cell>
          <cell r="F107" t="str">
            <v>Springfield Primary School</v>
          </cell>
          <cell r="G107">
            <v>208</v>
          </cell>
          <cell r="H107">
            <v>0.41346153846153799</v>
          </cell>
          <cell r="I107">
            <v>85.999999999999901</v>
          </cell>
          <cell r="J107">
            <v>33849.599999999955</v>
          </cell>
          <cell r="K107">
            <v>0.418269230769231</v>
          </cell>
          <cell r="L107">
            <v>87.000000000000043</v>
          </cell>
          <cell r="M107">
            <v>52454.910000000018</v>
          </cell>
          <cell r="N107">
            <v>86304.50999999998</v>
          </cell>
        </row>
        <row r="108">
          <cell r="E108">
            <v>5202</v>
          </cell>
          <cell r="F108" t="str">
            <v>St Ann's Catholic Primary School, A Voluntary Academy</v>
          </cell>
          <cell r="G108">
            <v>99</v>
          </cell>
          <cell r="H108">
            <v>0.13131313131313099</v>
          </cell>
          <cell r="I108">
            <v>12.999999999999968</v>
          </cell>
          <cell r="J108">
            <v>5116.7999999999865</v>
          </cell>
          <cell r="K108">
            <v>0.15151515151515199</v>
          </cell>
          <cell r="L108">
            <v>15.000000000000048</v>
          </cell>
          <cell r="M108">
            <v>9043.950000000028</v>
          </cell>
          <cell r="N108">
            <v>14160.750000000015</v>
          </cell>
        </row>
        <row r="109">
          <cell r="E109">
            <v>3402</v>
          </cell>
          <cell r="F109" t="str">
            <v>St Catherine's Catholic Primary School (Hallam)</v>
          </cell>
          <cell r="G109">
            <v>421</v>
          </cell>
          <cell r="H109">
            <v>0.35391923990498803</v>
          </cell>
          <cell r="I109">
            <v>148.99999999999997</v>
          </cell>
          <cell r="J109">
            <v>58646.399999999987</v>
          </cell>
          <cell r="K109">
            <v>0.37292161520189998</v>
          </cell>
          <cell r="L109">
            <v>156.99999999999989</v>
          </cell>
          <cell r="M109">
            <v>94660.009999999922</v>
          </cell>
          <cell r="N109">
            <v>153306.40999999992</v>
          </cell>
        </row>
        <row r="110">
          <cell r="E110">
            <v>2017</v>
          </cell>
          <cell r="F110" t="str">
            <v>St John Fisher Primary, A Catholic Voluntary Academy</v>
          </cell>
          <cell r="G110">
            <v>208</v>
          </cell>
          <cell r="H110">
            <v>0.15865384615384601</v>
          </cell>
          <cell r="I110">
            <v>32.999999999999972</v>
          </cell>
          <cell r="J110">
            <v>12988.799999999988</v>
          </cell>
          <cell r="K110">
            <v>0.168269230769231</v>
          </cell>
          <cell r="L110">
            <v>35.00000000000005</v>
          </cell>
          <cell r="M110">
            <v>21102.550000000028</v>
          </cell>
          <cell r="N110">
            <v>34091.35000000002</v>
          </cell>
        </row>
        <row r="111">
          <cell r="E111">
            <v>5203</v>
          </cell>
          <cell r="F111" t="str">
            <v>St Joseph's Primary School</v>
          </cell>
          <cell r="G111">
            <v>207</v>
          </cell>
          <cell r="H111">
            <v>0.14009661835748799</v>
          </cell>
          <cell r="I111">
            <v>29.000000000000014</v>
          </cell>
          <cell r="J111">
            <v>11414.400000000005</v>
          </cell>
          <cell r="K111">
            <v>0.14492753623188401</v>
          </cell>
          <cell r="L111">
            <v>29.999999999999989</v>
          </cell>
          <cell r="M111">
            <v>18087.899999999991</v>
          </cell>
          <cell r="N111">
            <v>29502.299999999996</v>
          </cell>
        </row>
        <row r="112">
          <cell r="E112">
            <v>3406</v>
          </cell>
          <cell r="F112" t="str">
            <v>St Marie's School, A Catholic Voluntary Academy</v>
          </cell>
          <cell r="G112">
            <v>216</v>
          </cell>
          <cell r="H112">
            <v>0.12037037037037</v>
          </cell>
          <cell r="I112">
            <v>25.999999999999922</v>
          </cell>
          <cell r="J112">
            <v>10233.599999999968</v>
          </cell>
          <cell r="K112">
            <v>0.125</v>
          </cell>
          <cell r="L112">
            <v>27</v>
          </cell>
          <cell r="M112">
            <v>16279.109999999999</v>
          </cell>
          <cell r="N112">
            <v>26512.709999999966</v>
          </cell>
        </row>
        <row r="113">
          <cell r="E113">
            <v>2020</v>
          </cell>
          <cell r="F113" t="str">
            <v>St Mary's Church of England Primary School</v>
          </cell>
          <cell r="G113">
            <v>204</v>
          </cell>
          <cell r="H113">
            <v>0.31372549019607798</v>
          </cell>
          <cell r="I113">
            <v>63.999999999999908</v>
          </cell>
          <cell r="J113">
            <v>25190.399999999961</v>
          </cell>
          <cell r="K113">
            <v>0.32352941176470601</v>
          </cell>
          <cell r="L113">
            <v>66.000000000000028</v>
          </cell>
          <cell r="M113">
            <v>39793.380000000012</v>
          </cell>
          <cell r="N113">
            <v>64983.77999999997</v>
          </cell>
        </row>
        <row r="114">
          <cell r="E114">
            <v>3423</v>
          </cell>
          <cell r="F114" t="str">
            <v>St Mary's Primary School, A Catholic Voluntary Academy</v>
          </cell>
          <cell r="G114">
            <v>176</v>
          </cell>
          <cell r="H114">
            <v>0.125</v>
          </cell>
          <cell r="I114">
            <v>22</v>
          </cell>
          <cell r="J114">
            <v>8659.1999999999989</v>
          </cell>
          <cell r="K114">
            <v>0.125</v>
          </cell>
          <cell r="L114">
            <v>22</v>
          </cell>
          <cell r="M114">
            <v>13264.46</v>
          </cell>
          <cell r="N114">
            <v>21923.659999999996</v>
          </cell>
        </row>
        <row r="115">
          <cell r="E115">
            <v>5207</v>
          </cell>
          <cell r="F115" t="str">
            <v>St Patrick's Catholic Voluntary Academy</v>
          </cell>
          <cell r="G115">
            <v>279</v>
          </cell>
          <cell r="H115">
            <v>0.31182795698924698</v>
          </cell>
          <cell r="I115">
            <v>86.999999999999901</v>
          </cell>
          <cell r="J115">
            <v>34243.199999999961</v>
          </cell>
          <cell r="K115">
            <v>0.31182795698924698</v>
          </cell>
          <cell r="L115">
            <v>86.999999999999901</v>
          </cell>
          <cell r="M115">
            <v>52454.909999999938</v>
          </cell>
          <cell r="N115">
            <v>86698.109999999899</v>
          </cell>
        </row>
        <row r="116">
          <cell r="E116">
            <v>5208</v>
          </cell>
          <cell r="F116" t="str">
            <v>St Theresa's Catholic Primary School</v>
          </cell>
          <cell r="G116">
            <v>207</v>
          </cell>
          <cell r="H116">
            <v>0.29468599033816401</v>
          </cell>
          <cell r="I116">
            <v>60.99999999999995</v>
          </cell>
          <cell r="J116">
            <v>24009.599999999977</v>
          </cell>
          <cell r="K116">
            <v>0.31884057971014501</v>
          </cell>
          <cell r="L116">
            <v>66.000000000000014</v>
          </cell>
          <cell r="M116">
            <v>39793.380000000005</v>
          </cell>
          <cell r="N116">
            <v>63802.979999999981</v>
          </cell>
        </row>
        <row r="117">
          <cell r="E117">
            <v>3424</v>
          </cell>
          <cell r="F117" t="str">
            <v>St Thomas More Catholic Primary, A Voluntary Academy</v>
          </cell>
          <cell r="G117">
            <v>208</v>
          </cell>
          <cell r="H117">
            <v>0.19230769230769201</v>
          </cell>
          <cell r="I117">
            <v>39.999999999999936</v>
          </cell>
          <cell r="J117">
            <v>15743.999999999973</v>
          </cell>
          <cell r="K117">
            <v>0.19230769230769201</v>
          </cell>
          <cell r="L117">
            <v>39.999999999999936</v>
          </cell>
          <cell r="M117">
            <v>24117.199999999961</v>
          </cell>
          <cell r="N117">
            <v>39861.199999999932</v>
          </cell>
        </row>
        <row r="118">
          <cell r="E118">
            <v>3414</v>
          </cell>
          <cell r="F118" t="str">
            <v>St Thomas of Canterbury School, a Catholic Voluntary Academy</v>
          </cell>
          <cell r="G118">
            <v>210</v>
          </cell>
          <cell r="H118">
            <v>0.157142857142857</v>
          </cell>
          <cell r="I118">
            <v>32.999999999999972</v>
          </cell>
          <cell r="J118">
            <v>12988.799999999988</v>
          </cell>
          <cell r="K118">
            <v>0.161904761904762</v>
          </cell>
          <cell r="L118">
            <v>34.000000000000021</v>
          </cell>
          <cell r="M118">
            <v>20499.62000000001</v>
          </cell>
          <cell r="N118">
            <v>33488.42</v>
          </cell>
        </row>
        <row r="119">
          <cell r="E119">
            <v>3412</v>
          </cell>
          <cell r="F119" t="str">
            <v>St Wilfrid's Catholic Primary School</v>
          </cell>
          <cell r="G119">
            <v>297</v>
          </cell>
          <cell r="H119">
            <v>5.3872053872053897E-2</v>
          </cell>
          <cell r="I119">
            <v>16.000000000000007</v>
          </cell>
          <cell r="J119">
            <v>6297.6000000000022</v>
          </cell>
          <cell r="K119">
            <v>5.3872053872053897E-2</v>
          </cell>
          <cell r="L119">
            <v>16.000000000000007</v>
          </cell>
          <cell r="M119">
            <v>9646.8800000000028</v>
          </cell>
          <cell r="N119">
            <v>15944.480000000005</v>
          </cell>
        </row>
        <row r="120">
          <cell r="E120">
            <v>2294</v>
          </cell>
          <cell r="F120" t="str">
            <v>Stannington Infant School</v>
          </cell>
          <cell r="G120">
            <v>181</v>
          </cell>
          <cell r="H120">
            <v>0.121546961325967</v>
          </cell>
          <cell r="I120">
            <v>22.000000000000028</v>
          </cell>
          <cell r="J120">
            <v>8659.2000000000098</v>
          </cell>
          <cell r="K120">
            <v>0.121546961325967</v>
          </cell>
          <cell r="L120">
            <v>22.000000000000028</v>
          </cell>
          <cell r="M120">
            <v>13264.460000000015</v>
          </cell>
          <cell r="N120">
            <v>21923.660000000025</v>
          </cell>
        </row>
        <row r="121">
          <cell r="E121">
            <v>2303</v>
          </cell>
          <cell r="F121" t="str">
            <v>Stocksbridge Junior School</v>
          </cell>
          <cell r="G121">
            <v>295</v>
          </cell>
          <cell r="H121">
            <v>0.26101694915254198</v>
          </cell>
          <cell r="I121">
            <v>76.999999999999886</v>
          </cell>
          <cell r="J121">
            <v>30307.199999999953</v>
          </cell>
          <cell r="K121">
            <v>0.28135593220339</v>
          </cell>
          <cell r="L121">
            <v>83.000000000000057</v>
          </cell>
          <cell r="M121">
            <v>50043.190000000031</v>
          </cell>
          <cell r="N121">
            <v>80350.389999999985</v>
          </cell>
        </row>
        <row r="122">
          <cell r="E122">
            <v>2302</v>
          </cell>
          <cell r="F122" t="str">
            <v>Stocksbridge Nursery Infant School</v>
          </cell>
          <cell r="G122">
            <v>198</v>
          </cell>
          <cell r="H122">
            <v>0.28787878787878801</v>
          </cell>
          <cell r="I122">
            <v>57.000000000000028</v>
          </cell>
          <cell r="J122">
            <v>22435.200000000008</v>
          </cell>
          <cell r="K122">
            <v>0.28787878787878801</v>
          </cell>
          <cell r="L122">
            <v>57.000000000000028</v>
          </cell>
          <cell r="M122">
            <v>34367.010000000017</v>
          </cell>
          <cell r="N122">
            <v>56802.210000000021</v>
          </cell>
        </row>
        <row r="123">
          <cell r="E123">
            <v>2350</v>
          </cell>
          <cell r="F123" t="str">
            <v>Stradbroke Primary School</v>
          </cell>
          <cell r="G123">
            <v>411</v>
          </cell>
          <cell r="H123">
            <v>0.48175182481751799</v>
          </cell>
          <cell r="I123">
            <v>197.99999999999989</v>
          </cell>
          <cell r="J123">
            <v>77932.799999999945</v>
          </cell>
          <cell r="K123">
            <v>0.50364963503649596</v>
          </cell>
          <cell r="L123">
            <v>206.99999999999983</v>
          </cell>
          <cell r="M123">
            <v>124806.50999999989</v>
          </cell>
          <cell r="N123">
            <v>202739.30999999982</v>
          </cell>
        </row>
        <row r="124">
          <cell r="E124">
            <v>2230</v>
          </cell>
          <cell r="F124" t="str">
            <v>Tinsley Meadows Primary School</v>
          </cell>
          <cell r="G124">
            <v>545</v>
          </cell>
          <cell r="H124">
            <v>0.42935779816513803</v>
          </cell>
          <cell r="I124">
            <v>234.00000000000023</v>
          </cell>
          <cell r="J124">
            <v>92102.400000000081</v>
          </cell>
          <cell r="K124">
            <v>0.444036697247706</v>
          </cell>
          <cell r="L124">
            <v>241.99999999999977</v>
          </cell>
          <cell r="M124">
            <v>145909.05999999985</v>
          </cell>
          <cell r="N124">
            <v>238011.45999999993</v>
          </cell>
        </row>
        <row r="125">
          <cell r="E125">
            <v>5206</v>
          </cell>
          <cell r="F125" t="str">
            <v>Totley All Saints Church of England Voluntary Aided Primary School</v>
          </cell>
          <cell r="G125">
            <v>211</v>
          </cell>
          <cell r="H125">
            <v>8.0568720379146905E-2</v>
          </cell>
          <cell r="I125">
            <v>16.999999999999996</v>
          </cell>
          <cell r="J125">
            <v>6691.199999999998</v>
          </cell>
          <cell r="K125">
            <v>8.0568720379146905E-2</v>
          </cell>
          <cell r="L125">
            <v>16.999999999999996</v>
          </cell>
          <cell r="M125">
            <v>10249.809999999998</v>
          </cell>
          <cell r="N125">
            <v>16941.009999999995</v>
          </cell>
        </row>
        <row r="126">
          <cell r="E126">
            <v>2203</v>
          </cell>
          <cell r="F126" t="str">
            <v>Totley Primary School</v>
          </cell>
          <cell r="G126">
            <v>423</v>
          </cell>
          <cell r="H126">
            <v>9.9290780141844004E-2</v>
          </cell>
          <cell r="I126">
            <v>42.000000000000014</v>
          </cell>
          <cell r="J126">
            <v>16531.200000000004</v>
          </cell>
          <cell r="K126">
            <v>0.10401891252955101</v>
          </cell>
          <cell r="L126">
            <v>44.000000000000078</v>
          </cell>
          <cell r="M126">
            <v>26528.920000000046</v>
          </cell>
          <cell r="N126">
            <v>43060.120000000054</v>
          </cell>
        </row>
        <row r="127">
          <cell r="E127">
            <v>2351</v>
          </cell>
          <cell r="F127" t="str">
            <v>Walkley Primary School</v>
          </cell>
          <cell r="G127">
            <v>377</v>
          </cell>
          <cell r="H127">
            <v>0.259946949602122</v>
          </cell>
          <cell r="I127">
            <v>98</v>
          </cell>
          <cell r="J127">
            <v>38572.799999999996</v>
          </cell>
          <cell r="K127">
            <v>0.26259946949602098</v>
          </cell>
          <cell r="L127">
            <v>98.999999999999915</v>
          </cell>
          <cell r="M127">
            <v>59690.069999999942</v>
          </cell>
          <cell r="N127">
            <v>98262.869999999937</v>
          </cell>
        </row>
        <row r="128">
          <cell r="E128">
            <v>3432</v>
          </cell>
          <cell r="F128" t="str">
            <v>Watercliffe Meadow Community Primary School</v>
          </cell>
          <cell r="G128">
            <v>417</v>
          </cell>
          <cell r="H128">
            <v>0.54196642685851304</v>
          </cell>
          <cell r="I128">
            <v>225.99999999999994</v>
          </cell>
          <cell r="J128">
            <v>88953.599999999977</v>
          </cell>
          <cell r="K128">
            <v>0.55635491606714604</v>
          </cell>
          <cell r="L128">
            <v>231.99999999999989</v>
          </cell>
          <cell r="M128">
            <v>139879.75999999992</v>
          </cell>
          <cell r="N128">
            <v>228833.3599999999</v>
          </cell>
        </row>
        <row r="129">
          <cell r="E129">
            <v>2319</v>
          </cell>
          <cell r="F129" t="str">
            <v>Waterthorpe Infant School</v>
          </cell>
          <cell r="G129">
            <v>134</v>
          </cell>
          <cell r="H129">
            <v>0.35074626865671599</v>
          </cell>
          <cell r="I129">
            <v>46.999999999999943</v>
          </cell>
          <cell r="J129">
            <v>18499.199999999975</v>
          </cell>
          <cell r="K129">
            <v>0.35074626865671599</v>
          </cell>
          <cell r="L129">
            <v>46.999999999999943</v>
          </cell>
          <cell r="M129">
            <v>28337.709999999963</v>
          </cell>
          <cell r="N129">
            <v>46836.909999999938</v>
          </cell>
        </row>
        <row r="130">
          <cell r="E130">
            <v>2352</v>
          </cell>
          <cell r="F130" t="str">
            <v>Westways Primary School</v>
          </cell>
          <cell r="G130">
            <v>580</v>
          </cell>
          <cell r="H130">
            <v>0.163793103448276</v>
          </cell>
          <cell r="I130">
            <v>95.000000000000071</v>
          </cell>
          <cell r="J130">
            <v>37392.000000000022</v>
          </cell>
          <cell r="K130">
            <v>0.167241379310345</v>
          </cell>
          <cell r="L130">
            <v>97.000000000000099</v>
          </cell>
          <cell r="M130">
            <v>58484.210000000057</v>
          </cell>
          <cell r="N130">
            <v>95876.210000000079</v>
          </cell>
        </row>
        <row r="131">
          <cell r="E131">
            <v>2311</v>
          </cell>
          <cell r="F131" t="str">
            <v>Wharncliffe Side Primary School</v>
          </cell>
          <cell r="G131">
            <v>142</v>
          </cell>
          <cell r="H131">
            <v>0.29577464788732399</v>
          </cell>
          <cell r="I131">
            <v>42.000000000000007</v>
          </cell>
          <cell r="J131">
            <v>16531.2</v>
          </cell>
          <cell r="K131">
            <v>0.30281690140845102</v>
          </cell>
          <cell r="L131">
            <v>43.000000000000043</v>
          </cell>
          <cell r="M131">
            <v>25925.990000000023</v>
          </cell>
          <cell r="N131">
            <v>42457.190000000024</v>
          </cell>
        </row>
        <row r="132">
          <cell r="E132">
            <v>2040</v>
          </cell>
          <cell r="F132" t="str">
            <v>Whiteways Primary School</v>
          </cell>
          <cell r="G132">
            <v>406</v>
          </cell>
          <cell r="H132">
            <v>0.54433497536945796</v>
          </cell>
          <cell r="I132">
            <v>220.99999999999994</v>
          </cell>
          <cell r="J132">
            <v>86985.599999999977</v>
          </cell>
          <cell r="K132">
            <v>0.56157635467980305</v>
          </cell>
          <cell r="L132">
            <v>228.00000000000003</v>
          </cell>
          <cell r="M132">
            <v>137468.04</v>
          </cell>
          <cell r="N132">
            <v>224453.63999999998</v>
          </cell>
        </row>
        <row r="133">
          <cell r="E133">
            <v>2027</v>
          </cell>
          <cell r="F133" t="str">
            <v>Wincobank Nursery and Infant School</v>
          </cell>
          <cell r="G133">
            <v>137</v>
          </cell>
          <cell r="H133">
            <v>0.52554744525547403</v>
          </cell>
          <cell r="I133">
            <v>71.999999999999943</v>
          </cell>
          <cell r="J133">
            <v>28339.199999999975</v>
          </cell>
          <cell r="K133">
            <v>0.52554744525547403</v>
          </cell>
          <cell r="L133">
            <v>71.999999999999943</v>
          </cell>
          <cell r="M133">
            <v>43410.959999999963</v>
          </cell>
          <cell r="N133">
            <v>71750.159999999945</v>
          </cell>
        </row>
        <row r="134">
          <cell r="E134">
            <v>2361</v>
          </cell>
          <cell r="F134" t="str">
            <v>Windmill Hill Primary School</v>
          </cell>
          <cell r="G134">
            <v>315</v>
          </cell>
          <cell r="H134">
            <v>0.17142857142857101</v>
          </cell>
          <cell r="I134">
            <v>53.999999999999872</v>
          </cell>
          <cell r="J134">
            <v>21254.399999999947</v>
          </cell>
          <cell r="K134">
            <v>0.17142857142857101</v>
          </cell>
          <cell r="L134">
            <v>53.999999999999872</v>
          </cell>
          <cell r="M134">
            <v>32558.219999999921</v>
          </cell>
          <cell r="N134">
            <v>53812.619999999864</v>
          </cell>
        </row>
        <row r="135">
          <cell r="E135">
            <v>2043</v>
          </cell>
          <cell r="F135" t="str">
            <v>Wisewood Community Primary School</v>
          </cell>
          <cell r="G135">
            <v>156</v>
          </cell>
          <cell r="H135">
            <v>0.57051282051282004</v>
          </cell>
          <cell r="I135">
            <v>88.999999999999929</v>
          </cell>
          <cell r="J135">
            <v>35030.399999999972</v>
          </cell>
          <cell r="K135">
            <v>0.57051282051282004</v>
          </cell>
          <cell r="L135">
            <v>88.999999999999929</v>
          </cell>
          <cell r="M135">
            <v>53660.769999999953</v>
          </cell>
          <cell r="N135">
            <v>88691.169999999925</v>
          </cell>
        </row>
        <row r="136">
          <cell r="E136">
            <v>2139</v>
          </cell>
          <cell r="F136" t="str">
            <v>Woodhouse West Primary School</v>
          </cell>
          <cell r="G136">
            <v>360</v>
          </cell>
          <cell r="H136">
            <v>0.50833333333333297</v>
          </cell>
          <cell r="I136">
            <v>182.99999999999986</v>
          </cell>
          <cell r="J136">
            <v>72028.799999999945</v>
          </cell>
          <cell r="K136">
            <v>0.52222222222222203</v>
          </cell>
          <cell r="L136">
            <v>187.99999999999994</v>
          </cell>
          <cell r="M136">
            <v>113350.83999999995</v>
          </cell>
          <cell r="N136">
            <v>185379.6399999999</v>
          </cell>
        </row>
        <row r="137">
          <cell r="E137">
            <v>2034</v>
          </cell>
          <cell r="F137" t="str">
            <v>Woodlands Primary School</v>
          </cell>
          <cell r="G137">
            <v>395</v>
          </cell>
          <cell r="H137">
            <v>0.658227848101266</v>
          </cell>
          <cell r="I137">
            <v>260.00000000000006</v>
          </cell>
          <cell r="J137">
            <v>102336.00000000001</v>
          </cell>
          <cell r="K137">
            <v>0.67848101265822802</v>
          </cell>
          <cell r="L137">
            <v>268.00000000000006</v>
          </cell>
          <cell r="M137">
            <v>161585.24000000002</v>
          </cell>
          <cell r="N137">
            <v>263921.24000000005</v>
          </cell>
        </row>
        <row r="138">
          <cell r="E138">
            <v>2324</v>
          </cell>
          <cell r="F138" t="str">
            <v>Woodseats Primary School</v>
          </cell>
          <cell r="G138">
            <v>363</v>
          </cell>
          <cell r="H138">
            <v>0.33608815426997202</v>
          </cell>
          <cell r="I138">
            <v>121.99999999999984</v>
          </cell>
          <cell r="J138">
            <v>48019.199999999932</v>
          </cell>
          <cell r="K138">
            <v>0.34159779614325098</v>
          </cell>
          <cell r="L138">
            <v>124.0000000000001</v>
          </cell>
          <cell r="M138">
            <v>74763.320000000051</v>
          </cell>
          <cell r="N138">
            <v>122782.51999999999</v>
          </cell>
        </row>
        <row r="139">
          <cell r="E139">
            <v>2327</v>
          </cell>
          <cell r="F139" t="str">
            <v>Woodthorpe Primary School</v>
          </cell>
          <cell r="G139">
            <v>406</v>
          </cell>
          <cell r="H139">
            <v>0.62807881773398999</v>
          </cell>
          <cell r="I139">
            <v>254.99999999999994</v>
          </cell>
          <cell r="J139">
            <v>100367.99999999997</v>
          </cell>
          <cell r="K139">
            <v>0.633004926108374</v>
          </cell>
          <cell r="L139">
            <v>256.99999999999983</v>
          </cell>
          <cell r="M139">
            <v>154953.00999999989</v>
          </cell>
          <cell r="N139">
            <v>255321.00999999986</v>
          </cell>
        </row>
        <row r="140">
          <cell r="E140">
            <v>2321</v>
          </cell>
          <cell r="F140" t="str">
            <v>Wybourn Community Primary &amp; Nursery School</v>
          </cell>
          <cell r="G140">
            <v>424</v>
          </cell>
          <cell r="H140">
            <v>0.68632075471698095</v>
          </cell>
          <cell r="I140">
            <v>290.99999999999994</v>
          </cell>
          <cell r="J140">
            <v>114537.59999999996</v>
          </cell>
          <cell r="K140">
            <v>0.70047169811320797</v>
          </cell>
          <cell r="L140">
            <v>297.00000000000017</v>
          </cell>
          <cell r="M140">
            <v>179070.21000000008</v>
          </cell>
          <cell r="N140">
            <v>293607.81000000006</v>
          </cell>
        </row>
        <row r="141">
          <cell r="E141">
            <v>0</v>
          </cell>
          <cell r="F141">
            <v>0</v>
          </cell>
        </row>
        <row r="142">
          <cell r="E142">
            <v>0</v>
          </cell>
          <cell r="F142" t="str">
            <v>Total Primary</v>
          </cell>
          <cell r="G142">
            <v>43411</v>
          </cell>
          <cell r="H142">
            <v>0.33065352099698231</v>
          </cell>
          <cell r="I142">
            <v>14354</v>
          </cell>
          <cell r="J142">
            <v>5649734.3999999994</v>
          </cell>
          <cell r="K142">
            <v>0.33984473981248992</v>
          </cell>
          <cell r="L142">
            <v>14753</v>
          </cell>
          <cell r="M142">
            <v>8895026.290000001</v>
          </cell>
          <cell r="N142">
            <v>14544760.689999999</v>
          </cell>
        </row>
        <row r="143">
          <cell r="E143">
            <v>0</v>
          </cell>
          <cell r="F143">
            <v>0</v>
          </cell>
        </row>
        <row r="144">
          <cell r="E144">
            <v>0</v>
          </cell>
          <cell r="F144" t="str">
            <v>Secondary</v>
          </cell>
        </row>
        <row r="145">
          <cell r="E145">
            <v>0</v>
          </cell>
          <cell r="F145">
            <v>0</v>
          </cell>
        </row>
        <row r="146">
          <cell r="E146">
            <v>5401</v>
          </cell>
          <cell r="F146" t="str">
            <v>All Saints' Catholic High School</v>
          </cell>
          <cell r="G146">
            <v>1034</v>
          </cell>
          <cell r="H146">
            <v>0.230174081237911</v>
          </cell>
          <cell r="I146">
            <v>237.99999999999997</v>
          </cell>
          <cell r="J146">
            <v>113097.59999999998</v>
          </cell>
          <cell r="K146">
            <v>0.26885880077369401</v>
          </cell>
          <cell r="L146">
            <v>277.9999999999996</v>
          </cell>
          <cell r="M146">
            <v>224776.8999999997</v>
          </cell>
          <cell r="N146">
            <v>337874.49999999965</v>
          </cell>
        </row>
        <row r="147">
          <cell r="E147">
            <v>4017</v>
          </cell>
          <cell r="F147" t="str">
            <v>Bradfield School</v>
          </cell>
          <cell r="G147">
            <v>1065</v>
          </cell>
          <cell r="H147">
            <v>0.153990610328639</v>
          </cell>
          <cell r="I147">
            <v>164.00000000000054</v>
          </cell>
          <cell r="J147">
            <v>77932.80000000025</v>
          </cell>
          <cell r="K147">
            <v>0.16807511737089201</v>
          </cell>
          <cell r="L147">
            <v>179</v>
          </cell>
          <cell r="M147">
            <v>144730.45000000001</v>
          </cell>
          <cell r="N147">
            <v>222663.25000000026</v>
          </cell>
        </row>
        <row r="148">
          <cell r="E148">
            <v>4000</v>
          </cell>
          <cell r="F148" t="str">
            <v>Chaucer School</v>
          </cell>
          <cell r="G148">
            <v>842</v>
          </cell>
          <cell r="H148">
            <v>0.53800475059382402</v>
          </cell>
          <cell r="I148">
            <v>452.99999999999983</v>
          </cell>
          <cell r="J148">
            <v>215265.59999999992</v>
          </cell>
          <cell r="K148">
            <v>0.59738717339667502</v>
          </cell>
          <cell r="L148">
            <v>503.00000000000034</v>
          </cell>
          <cell r="M148">
            <v>406700.65000000031</v>
          </cell>
          <cell r="N148">
            <v>621966.25000000023</v>
          </cell>
        </row>
        <row r="149">
          <cell r="E149">
            <v>4012</v>
          </cell>
          <cell r="F149" t="str">
            <v>Ecclesfield School</v>
          </cell>
          <cell r="G149">
            <v>1701</v>
          </cell>
          <cell r="H149">
            <v>0.25749559082892398</v>
          </cell>
          <cell r="I149">
            <v>437.99999999999972</v>
          </cell>
          <cell r="J149">
            <v>208137.59999999986</v>
          </cell>
          <cell r="K149">
            <v>0.289241622574956</v>
          </cell>
          <cell r="L149">
            <v>492.00000000000017</v>
          </cell>
          <cell r="M149">
            <v>397806.60000000015</v>
          </cell>
          <cell r="N149">
            <v>605944.19999999995</v>
          </cell>
        </row>
        <row r="150">
          <cell r="E150">
            <v>4280</v>
          </cell>
          <cell r="F150" t="str">
            <v>Fir Vale School</v>
          </cell>
          <cell r="G150">
            <v>1025</v>
          </cell>
          <cell r="H150">
            <v>0.65365853658536599</v>
          </cell>
          <cell r="I150">
            <v>670.00000000000011</v>
          </cell>
          <cell r="J150">
            <v>318384.00000000006</v>
          </cell>
          <cell r="K150">
            <v>0.68487804878048797</v>
          </cell>
          <cell r="L150">
            <v>702.00000000000011</v>
          </cell>
          <cell r="M150">
            <v>567602.10000000009</v>
          </cell>
          <cell r="N150">
            <v>885986.10000000009</v>
          </cell>
        </row>
        <row r="151">
          <cell r="E151">
            <v>4003</v>
          </cell>
          <cell r="F151" t="str">
            <v>Firth Park Academy</v>
          </cell>
          <cell r="G151">
            <v>1166</v>
          </cell>
          <cell r="H151">
            <v>0.49828473413379099</v>
          </cell>
          <cell r="I151">
            <v>581.00000000000034</v>
          </cell>
          <cell r="J151">
            <v>276091.20000000013</v>
          </cell>
          <cell r="K151">
            <v>0.54545454545454497</v>
          </cell>
          <cell r="L151">
            <v>635.99999999999943</v>
          </cell>
          <cell r="M151">
            <v>514237.79999999958</v>
          </cell>
          <cell r="N151">
            <v>790328.99999999977</v>
          </cell>
        </row>
        <row r="152">
          <cell r="E152">
            <v>4007</v>
          </cell>
          <cell r="F152" t="str">
            <v>Forge Valley School</v>
          </cell>
          <cell r="G152">
            <v>1243</v>
          </cell>
          <cell r="H152">
            <v>0.244569589702333</v>
          </cell>
          <cell r="I152">
            <v>303.99999999999994</v>
          </cell>
          <cell r="J152">
            <v>144460.79999999996</v>
          </cell>
          <cell r="K152">
            <v>0.27514078841512501</v>
          </cell>
          <cell r="L152">
            <v>342.0000000000004</v>
          </cell>
          <cell r="M152">
            <v>276524.10000000033</v>
          </cell>
          <cell r="N152">
            <v>420984.90000000026</v>
          </cell>
        </row>
        <row r="153">
          <cell r="E153">
            <v>4278</v>
          </cell>
          <cell r="F153" t="str">
            <v>Handsworth Grange Community Sports College</v>
          </cell>
          <cell r="G153">
            <v>1015</v>
          </cell>
          <cell r="H153">
            <v>0.29556650246305399</v>
          </cell>
          <cell r="I153">
            <v>299.99999999999983</v>
          </cell>
          <cell r="J153">
            <v>142559.99999999991</v>
          </cell>
          <cell r="K153">
            <v>0.32906403940886703</v>
          </cell>
          <cell r="L153">
            <v>334.00000000000006</v>
          </cell>
          <cell r="M153">
            <v>270055.70000000007</v>
          </cell>
          <cell r="N153">
            <v>412615.69999999995</v>
          </cell>
        </row>
        <row r="154">
          <cell r="E154">
            <v>4257</v>
          </cell>
          <cell r="F154" t="str">
            <v>High Storrs School</v>
          </cell>
          <cell r="G154">
            <v>1214</v>
          </cell>
          <cell r="H154">
            <v>6.8369028006589797E-2</v>
          </cell>
          <cell r="I154">
            <v>83.000000000000014</v>
          </cell>
          <cell r="J154">
            <v>39441.600000000006</v>
          </cell>
          <cell r="K154">
            <v>8.2372322899505801E-2</v>
          </cell>
          <cell r="L154">
            <v>100.00000000000004</v>
          </cell>
          <cell r="M154">
            <v>80855.000000000044</v>
          </cell>
          <cell r="N154">
            <v>120296.60000000005</v>
          </cell>
        </row>
        <row r="155">
          <cell r="E155">
            <v>4230</v>
          </cell>
          <cell r="F155" t="str">
            <v>King Ecgbert School</v>
          </cell>
          <cell r="G155">
            <v>1030</v>
          </cell>
          <cell r="H155">
            <v>0.18058252427184501</v>
          </cell>
          <cell r="I155">
            <v>186.00000000000037</v>
          </cell>
          <cell r="J155">
            <v>88387.200000000172</v>
          </cell>
          <cell r="K155">
            <v>0.198058252427184</v>
          </cell>
          <cell r="L155">
            <v>203.99999999999952</v>
          </cell>
          <cell r="M155">
            <v>164944.19999999963</v>
          </cell>
          <cell r="N155">
            <v>253331.39999999979</v>
          </cell>
        </row>
        <row r="156">
          <cell r="E156">
            <v>4259</v>
          </cell>
          <cell r="F156" t="str">
            <v>King Edward VII School</v>
          </cell>
          <cell r="G156">
            <v>1141</v>
          </cell>
          <cell r="H156">
            <v>0.26730937773882602</v>
          </cell>
          <cell r="I156">
            <v>305.00000000000045</v>
          </cell>
          <cell r="J156">
            <v>144936.0000000002</v>
          </cell>
          <cell r="K156">
            <v>0.30148992112182299</v>
          </cell>
          <cell r="L156">
            <v>344.00000000000006</v>
          </cell>
          <cell r="M156">
            <v>278141.20000000007</v>
          </cell>
          <cell r="N156">
            <v>423077.2000000003</v>
          </cell>
        </row>
        <row r="157">
          <cell r="E157">
            <v>4279</v>
          </cell>
          <cell r="F157" t="str">
            <v>Meadowhead School Academy Trust</v>
          </cell>
          <cell r="G157">
            <v>1640</v>
          </cell>
          <cell r="H157">
            <v>0.301219512195122</v>
          </cell>
          <cell r="I157">
            <v>494.00000000000006</v>
          </cell>
          <cell r="J157">
            <v>234748.80000000002</v>
          </cell>
          <cell r="K157">
            <v>0.326829268292683</v>
          </cell>
          <cell r="L157">
            <v>536.00000000000011</v>
          </cell>
          <cell r="M157">
            <v>433382.8000000001</v>
          </cell>
          <cell r="N157">
            <v>668131.60000000009</v>
          </cell>
        </row>
        <row r="158">
          <cell r="E158">
            <v>4015</v>
          </cell>
          <cell r="F158" t="str">
            <v>Mercia School</v>
          </cell>
          <cell r="G158">
            <v>786</v>
          </cell>
          <cell r="H158">
            <v>0.188295165394402</v>
          </cell>
          <cell r="I158">
            <v>147.99999999999997</v>
          </cell>
          <cell r="J158">
            <v>70329.599999999991</v>
          </cell>
          <cell r="K158">
            <v>0.21501272264630999</v>
          </cell>
          <cell r="L158">
            <v>168.99999999999966</v>
          </cell>
          <cell r="M158">
            <v>136644.94999999975</v>
          </cell>
          <cell r="N158">
            <v>206974.54999999976</v>
          </cell>
        </row>
        <row r="159">
          <cell r="E159">
            <v>4008</v>
          </cell>
          <cell r="F159" t="str">
            <v>Newfield Secondary School</v>
          </cell>
          <cell r="G159">
            <v>1055</v>
          </cell>
          <cell r="H159">
            <v>0.36018957345971597</v>
          </cell>
          <cell r="I159">
            <v>380.00000000000034</v>
          </cell>
          <cell r="J159">
            <v>180576.00000000015</v>
          </cell>
          <cell r="K159">
            <v>0.39905213270142198</v>
          </cell>
          <cell r="L159">
            <v>421.00000000000017</v>
          </cell>
          <cell r="M159">
            <v>340399.55000000016</v>
          </cell>
          <cell r="N159">
            <v>520975.55000000028</v>
          </cell>
        </row>
        <row r="160">
          <cell r="E160">
            <v>5400</v>
          </cell>
          <cell r="F160" t="str">
            <v>Notre Dame High School</v>
          </cell>
          <cell r="G160">
            <v>1067</v>
          </cell>
          <cell r="H160">
            <v>0.12558575445173401</v>
          </cell>
          <cell r="I160">
            <v>134.00000000000017</v>
          </cell>
          <cell r="J160">
            <v>63676.800000000083</v>
          </cell>
          <cell r="K160">
            <v>0.155576382380506</v>
          </cell>
          <cell r="L160">
            <v>165.99999999999991</v>
          </cell>
          <cell r="M160">
            <v>134219.29999999993</v>
          </cell>
          <cell r="N160">
            <v>197896.1</v>
          </cell>
        </row>
        <row r="161">
          <cell r="E161">
            <v>4006</v>
          </cell>
          <cell r="F161" t="str">
            <v>Outwood Academy City</v>
          </cell>
          <cell r="G161">
            <v>1126</v>
          </cell>
          <cell r="H161">
            <v>0.404085257548845</v>
          </cell>
          <cell r="I161">
            <v>454.99999999999949</v>
          </cell>
          <cell r="J161">
            <v>216215.99999999974</v>
          </cell>
          <cell r="K161">
            <v>0.4449378330373</v>
          </cell>
          <cell r="L161">
            <v>500.99999999999983</v>
          </cell>
          <cell r="M161">
            <v>405083.54999999987</v>
          </cell>
          <cell r="N161">
            <v>621299.54999999958</v>
          </cell>
        </row>
        <row r="162">
          <cell r="E162">
            <v>6907</v>
          </cell>
          <cell r="F162" t="str">
            <v>Parkwood E-ACT Academy</v>
          </cell>
          <cell r="G162">
            <v>793</v>
          </cell>
          <cell r="H162">
            <v>0.46027742749054201</v>
          </cell>
          <cell r="I162">
            <v>364.99999999999983</v>
          </cell>
          <cell r="J162">
            <v>173447.99999999991</v>
          </cell>
          <cell r="K162">
            <v>0.52585119798234503</v>
          </cell>
          <cell r="L162">
            <v>416.9999999999996</v>
          </cell>
          <cell r="M162">
            <v>337165.34999999969</v>
          </cell>
          <cell r="N162">
            <v>510613.34999999963</v>
          </cell>
        </row>
        <row r="163">
          <cell r="E163">
            <v>6905</v>
          </cell>
          <cell r="F163" t="str">
            <v>Sheffield Park Academy</v>
          </cell>
          <cell r="G163">
            <v>1029</v>
          </cell>
          <cell r="H163">
            <v>0.52380952380952395</v>
          </cell>
          <cell r="I163">
            <v>539.00000000000011</v>
          </cell>
          <cell r="J163">
            <v>256132.80000000005</v>
          </cell>
          <cell r="K163">
            <v>0.56268221574344002</v>
          </cell>
          <cell r="L163">
            <v>578.99999999999977</v>
          </cell>
          <cell r="M163">
            <v>468150.44999999984</v>
          </cell>
          <cell r="N163">
            <v>724283.24999999988</v>
          </cell>
        </row>
        <row r="164">
          <cell r="E164">
            <v>6906</v>
          </cell>
          <cell r="F164" t="str">
            <v>Sheffield Springs Academy</v>
          </cell>
          <cell r="G164">
            <v>981</v>
          </cell>
          <cell r="H164">
            <v>0.56269113149847105</v>
          </cell>
          <cell r="I164">
            <v>552.00000000000011</v>
          </cell>
          <cell r="J164">
            <v>262310.40000000002</v>
          </cell>
          <cell r="K164">
            <v>0.63098878695209004</v>
          </cell>
          <cell r="L164">
            <v>619.00000000000034</v>
          </cell>
          <cell r="M164">
            <v>500492.4500000003</v>
          </cell>
          <cell r="N164">
            <v>762802.85000000033</v>
          </cell>
        </row>
        <row r="165">
          <cell r="E165">
            <v>4229</v>
          </cell>
          <cell r="F165" t="str">
            <v>Silverdale School</v>
          </cell>
          <cell r="G165">
            <v>1021</v>
          </cell>
          <cell r="H165">
            <v>0.112634671890304</v>
          </cell>
          <cell r="I165">
            <v>115.00000000000038</v>
          </cell>
          <cell r="J165">
            <v>54648.000000000182</v>
          </cell>
          <cell r="K165">
            <v>0.13124387855044101</v>
          </cell>
          <cell r="L165">
            <v>134.00000000000026</v>
          </cell>
          <cell r="M165">
            <v>108345.70000000022</v>
          </cell>
          <cell r="N165">
            <v>162993.70000000039</v>
          </cell>
        </row>
        <row r="166">
          <cell r="E166">
            <v>4271</v>
          </cell>
          <cell r="F166" t="str">
            <v>Stocksbridge High School</v>
          </cell>
          <cell r="G166">
            <v>793</v>
          </cell>
          <cell r="H166">
            <v>0.28121059268600301</v>
          </cell>
          <cell r="I166">
            <v>223.0000000000004</v>
          </cell>
          <cell r="J166">
            <v>105969.60000000018</v>
          </cell>
          <cell r="K166">
            <v>0.31904161412358101</v>
          </cell>
          <cell r="L166">
            <v>252.99999999999974</v>
          </cell>
          <cell r="M166">
            <v>204563.14999999982</v>
          </cell>
          <cell r="N166">
            <v>310532.75</v>
          </cell>
        </row>
        <row r="167">
          <cell r="E167">
            <v>4234</v>
          </cell>
          <cell r="F167" t="str">
            <v>Tapton School</v>
          </cell>
          <cell r="G167">
            <v>1357</v>
          </cell>
          <cell r="H167">
            <v>0.15327929255711101</v>
          </cell>
          <cell r="I167">
            <v>207.99999999999963</v>
          </cell>
          <cell r="J167">
            <v>98841.599999999817</v>
          </cell>
          <cell r="K167">
            <v>0.16801768607221801</v>
          </cell>
          <cell r="L167">
            <v>227.99999999999983</v>
          </cell>
          <cell r="M167">
            <v>184349.39999999988</v>
          </cell>
          <cell r="N167">
            <v>283190.99999999971</v>
          </cell>
        </row>
        <row r="168">
          <cell r="E168">
            <v>4276</v>
          </cell>
          <cell r="F168" t="str">
            <v>The Birley Academy</v>
          </cell>
          <cell r="G168">
            <v>1076</v>
          </cell>
          <cell r="H168">
            <v>0.32992565055762102</v>
          </cell>
          <cell r="I168">
            <v>355.00000000000023</v>
          </cell>
          <cell r="J168">
            <v>168696.00000000012</v>
          </cell>
          <cell r="K168">
            <v>0.35594795539033502</v>
          </cell>
          <cell r="L168">
            <v>383.00000000000051</v>
          </cell>
          <cell r="M168">
            <v>309674.65000000043</v>
          </cell>
          <cell r="N168">
            <v>478370.65000000055</v>
          </cell>
        </row>
        <row r="169">
          <cell r="E169">
            <v>4004</v>
          </cell>
          <cell r="F169" t="str">
            <v>UTC Sheffield City Centre</v>
          </cell>
          <cell r="G169">
            <v>312</v>
          </cell>
          <cell r="H169">
            <v>0.22115384615384601</v>
          </cell>
          <cell r="I169">
            <v>68.999999999999957</v>
          </cell>
          <cell r="J169">
            <v>32788.799999999981</v>
          </cell>
          <cell r="K169">
            <v>0.269230769230769</v>
          </cell>
          <cell r="L169">
            <v>83.999999999999929</v>
          </cell>
          <cell r="M169">
            <v>67918.199999999953</v>
          </cell>
          <cell r="N169">
            <v>100706.99999999994</v>
          </cell>
        </row>
        <row r="170">
          <cell r="E170">
            <v>4010</v>
          </cell>
          <cell r="F170" t="str">
            <v>UTC Sheffield Olympic Legacy Park</v>
          </cell>
          <cell r="G170">
            <v>301</v>
          </cell>
          <cell r="H170">
            <v>0.26578073089700999</v>
          </cell>
          <cell r="I170">
            <v>80</v>
          </cell>
          <cell r="J170">
            <v>38016</v>
          </cell>
          <cell r="K170">
            <v>0.29235880398671099</v>
          </cell>
          <cell r="L170">
            <v>88.000000000000014</v>
          </cell>
          <cell r="M170">
            <v>71152.400000000023</v>
          </cell>
          <cell r="N170">
            <v>109168.40000000002</v>
          </cell>
        </row>
        <row r="171">
          <cell r="E171">
            <v>4013</v>
          </cell>
          <cell r="F171" t="str">
            <v>Westfield School</v>
          </cell>
          <cell r="G171">
            <v>1245</v>
          </cell>
          <cell r="H171">
            <v>0.237751004016064</v>
          </cell>
          <cell r="I171">
            <v>295.99999999999966</v>
          </cell>
          <cell r="J171">
            <v>140659.19999999984</v>
          </cell>
          <cell r="K171">
            <v>0.26987951807228899</v>
          </cell>
          <cell r="L171">
            <v>335.99999999999977</v>
          </cell>
          <cell r="M171">
            <v>271672.79999999981</v>
          </cell>
          <cell r="N171">
            <v>412331.99999999965</v>
          </cell>
        </row>
        <row r="172">
          <cell r="E172">
            <v>4016</v>
          </cell>
          <cell r="F172" t="str">
            <v>Yewlands Academy</v>
          </cell>
          <cell r="G172">
            <v>901</v>
          </cell>
          <cell r="H172">
            <v>0.39400665926748102</v>
          </cell>
          <cell r="I172">
            <v>355.0000000000004</v>
          </cell>
          <cell r="J172">
            <v>168696.00000000017</v>
          </cell>
          <cell r="K172">
            <v>0.42730299667036598</v>
          </cell>
          <cell r="L172">
            <v>384.99999999999972</v>
          </cell>
          <cell r="M172">
            <v>311291.74999999983</v>
          </cell>
          <cell r="N172">
            <v>479987.75</v>
          </cell>
        </row>
        <row r="173">
          <cell r="E173">
            <v>0</v>
          </cell>
          <cell r="F173">
            <v>0</v>
          </cell>
        </row>
        <row r="174">
          <cell r="E174">
            <v>0</v>
          </cell>
          <cell r="F174" t="str">
            <v>Total Secondary</v>
          </cell>
          <cell r="G174">
            <v>27959</v>
          </cell>
          <cell r="H174">
            <v>0.30365892914624992</v>
          </cell>
          <cell r="I174">
            <v>8490.0000000000018</v>
          </cell>
          <cell r="J174">
            <v>4034448.0000000005</v>
          </cell>
          <cell r="K174">
            <v>0.33667155477663724</v>
          </cell>
          <cell r="L174">
            <v>9413</v>
          </cell>
          <cell r="M174">
            <v>7610881.1500000004</v>
          </cell>
          <cell r="N174">
            <v>11645329.149999999</v>
          </cell>
        </row>
        <row r="175">
          <cell r="E175">
            <v>0</v>
          </cell>
          <cell r="F175">
            <v>0</v>
          </cell>
        </row>
        <row r="176">
          <cell r="E176">
            <v>0</v>
          </cell>
          <cell r="F176" t="str">
            <v>Middle Deemed Secondary</v>
          </cell>
        </row>
        <row r="177">
          <cell r="E177">
            <v>0</v>
          </cell>
          <cell r="F177">
            <v>0</v>
          </cell>
        </row>
        <row r="178">
          <cell r="E178">
            <v>4014</v>
          </cell>
          <cell r="F178" t="str">
            <v>Astrea Academy Sheffield</v>
          </cell>
          <cell r="G178">
            <v>979</v>
          </cell>
          <cell r="H178">
            <v>0.51513023493360532</v>
          </cell>
          <cell r="I178">
            <v>504.31249999999966</v>
          </cell>
          <cell r="J178">
            <v>230974.19999999984</v>
          </cell>
          <cell r="K178">
            <v>0.55224620884733233</v>
          </cell>
          <cell r="L178">
            <v>540.64903846153834</v>
          </cell>
          <cell r="M178">
            <v>414801.36475961527</v>
          </cell>
          <cell r="N178">
            <v>645775.56475961511</v>
          </cell>
        </row>
        <row r="179">
          <cell r="E179">
            <v>4225</v>
          </cell>
          <cell r="F179" t="str">
            <v>Hinde House 2-16 School</v>
          </cell>
          <cell r="G179">
            <v>1322</v>
          </cell>
          <cell r="H179">
            <v>0.45839636913767062</v>
          </cell>
          <cell r="I179">
            <v>606.00000000000057</v>
          </cell>
          <cell r="J179">
            <v>273364.80000000028</v>
          </cell>
          <cell r="K179">
            <v>0.49319213313161869</v>
          </cell>
          <cell r="L179">
            <v>651.99999999999989</v>
          </cell>
          <cell r="M179">
            <v>488723.66</v>
          </cell>
          <cell r="N179">
            <v>762088.4600000002</v>
          </cell>
        </row>
        <row r="180">
          <cell r="E180">
            <v>4005</v>
          </cell>
          <cell r="F180" t="str">
            <v>Oasis Academy Don Valley</v>
          </cell>
          <cell r="G180">
            <v>1061</v>
          </cell>
          <cell r="H180">
            <v>0.4721960414703108</v>
          </cell>
          <cell r="I180">
            <v>500.99999999999977</v>
          </cell>
          <cell r="J180">
            <v>224855.99999999988</v>
          </cell>
          <cell r="K180">
            <v>0.50612629594721914</v>
          </cell>
          <cell r="L180">
            <v>536.99999999999955</v>
          </cell>
          <cell r="M180">
            <v>399235.94999999966</v>
          </cell>
          <cell r="N180">
            <v>624091.94999999949</v>
          </cell>
        </row>
        <row r="182">
          <cell r="F182" t="str">
            <v>Total Middle Deemed Secondary</v>
          </cell>
          <cell r="G182">
            <v>3362</v>
          </cell>
          <cell r="H182">
            <v>0.47927201070791198</v>
          </cell>
          <cell r="I182">
            <v>1611.3125</v>
          </cell>
          <cell r="J182">
            <v>729195</v>
          </cell>
          <cell r="K182">
            <v>0.51447026724019562</v>
          </cell>
          <cell r="L182">
            <v>1729.6490384615377</v>
          </cell>
          <cell r="M182">
            <v>1302760.974759615</v>
          </cell>
          <cell r="N182">
            <v>2031955.9747596148</v>
          </cell>
        </row>
        <row r="184">
          <cell r="F184" t="str">
            <v>Total All Schools</v>
          </cell>
          <cell r="G184">
            <v>74732</v>
          </cell>
          <cell r="H184">
            <v>0.32724017154632551</v>
          </cell>
          <cell r="I184">
            <v>24455.3125</v>
          </cell>
          <cell r="J184">
            <v>10413377.399999999</v>
          </cell>
          <cell r="K184">
            <v>0.3465135288559324</v>
          </cell>
          <cell r="L184">
            <v>25895.649038461539</v>
          </cell>
          <cell r="M184">
            <v>17808668.414759614</v>
          </cell>
          <cell r="N184">
            <v>28222045.814759612</v>
          </cell>
        </row>
        <row r="185">
          <cell r="G185">
            <v>0</v>
          </cell>
        </row>
        <row r="187">
          <cell r="E187">
            <v>4014</v>
          </cell>
          <cell r="F187" t="str">
            <v>Astrea Academy - Pri</v>
          </cell>
          <cell r="G187">
            <v>243</v>
          </cell>
          <cell r="H187">
            <v>0.4375</v>
          </cell>
          <cell r="I187">
            <v>106.3125</v>
          </cell>
          <cell r="J187">
            <v>41844.6</v>
          </cell>
          <cell r="K187">
            <v>0.44711538461538503</v>
          </cell>
          <cell r="L187">
            <v>108.64903846153857</v>
          </cell>
          <cell r="M187">
            <v>65507.764759615442</v>
          </cell>
          <cell r="N187">
            <v>107352.36475961545</v>
          </cell>
        </row>
        <row r="188">
          <cell r="E188">
            <v>4014</v>
          </cell>
          <cell r="F188" t="str">
            <v>Astrea Academy - Sec</v>
          </cell>
          <cell r="G188">
            <v>736</v>
          </cell>
          <cell r="H188">
            <v>0.54076086956521696</v>
          </cell>
          <cell r="I188">
            <v>397.99999999999966</v>
          </cell>
          <cell r="J188">
            <v>189129.59999999983</v>
          </cell>
          <cell r="K188">
            <v>0.58695652173913004</v>
          </cell>
          <cell r="L188">
            <v>431.99999999999972</v>
          </cell>
          <cell r="M188">
            <v>349293.5999999998</v>
          </cell>
          <cell r="N188">
            <v>538423.1999999996</v>
          </cell>
        </row>
        <row r="189">
          <cell r="G189">
            <v>979</v>
          </cell>
          <cell r="H189">
            <v>0.51513023493360532</v>
          </cell>
          <cell r="I189">
            <v>504.31249999999966</v>
          </cell>
          <cell r="J189">
            <v>230974.19999999984</v>
          </cell>
          <cell r="K189">
            <v>0.55224620884733233</v>
          </cell>
          <cell r="L189">
            <v>540.64903846153834</v>
          </cell>
          <cell r="M189">
            <v>414801.36475961527</v>
          </cell>
          <cell r="N189">
            <v>645775.56475961511</v>
          </cell>
        </row>
        <row r="191">
          <cell r="E191">
            <v>4225</v>
          </cell>
          <cell r="F191" t="str">
            <v>Hinde House - Pri</v>
          </cell>
          <cell r="G191">
            <v>419</v>
          </cell>
          <cell r="H191">
            <v>0.42720763723150401</v>
          </cell>
          <cell r="I191">
            <v>179.00000000000017</v>
          </cell>
          <cell r="J191">
            <v>70454.400000000067</v>
          </cell>
          <cell r="K191">
            <v>0.44630071599045301</v>
          </cell>
          <cell r="L191">
            <v>186.9999999999998</v>
          </cell>
          <cell r="M191">
            <v>112747.90999999987</v>
          </cell>
          <cell r="N191">
            <v>183202.30999999994</v>
          </cell>
        </row>
        <row r="192">
          <cell r="E192">
            <v>4225</v>
          </cell>
          <cell r="F192" t="str">
            <v>Hinde House - Sec</v>
          </cell>
          <cell r="G192">
            <v>903</v>
          </cell>
          <cell r="H192">
            <v>0.47286821705426402</v>
          </cell>
          <cell r="I192">
            <v>427.0000000000004</v>
          </cell>
          <cell r="J192">
            <v>202910.4000000002</v>
          </cell>
          <cell r="K192">
            <v>0.51495016611295696</v>
          </cell>
          <cell r="L192">
            <v>465.00000000000011</v>
          </cell>
          <cell r="M192">
            <v>375975.75000000012</v>
          </cell>
          <cell r="N192">
            <v>578886.15000000037</v>
          </cell>
        </row>
        <row r="193">
          <cell r="G193">
            <v>1322</v>
          </cell>
          <cell r="H193">
            <v>0.45839636913767062</v>
          </cell>
          <cell r="I193">
            <v>606.00000000000057</v>
          </cell>
          <cell r="J193">
            <v>273364.80000000028</v>
          </cell>
          <cell r="K193">
            <v>0.49319213313161869</v>
          </cell>
          <cell r="L193">
            <v>651.99999999999989</v>
          </cell>
          <cell r="M193">
            <v>488723.66</v>
          </cell>
          <cell r="N193">
            <v>762088.46000000031</v>
          </cell>
        </row>
        <row r="195">
          <cell r="E195">
            <v>4005</v>
          </cell>
          <cell r="F195" t="str">
            <v>Oasis Don Valley - Pri</v>
          </cell>
          <cell r="G195">
            <v>414</v>
          </cell>
          <cell r="H195">
            <v>0.39130434782608697</v>
          </cell>
          <cell r="I195">
            <v>162</v>
          </cell>
          <cell r="J195">
            <v>63763.199999999997</v>
          </cell>
          <cell r="K195">
            <v>0.41062801932367099</v>
          </cell>
          <cell r="L195">
            <v>169.9999999999998</v>
          </cell>
          <cell r="M195">
            <v>102498.09999999987</v>
          </cell>
          <cell r="N195">
            <v>166261.29999999987</v>
          </cell>
        </row>
        <row r="196">
          <cell r="E196">
            <v>4005</v>
          </cell>
          <cell r="F196" t="str">
            <v>Oasis Don Valley - Sec</v>
          </cell>
          <cell r="G196">
            <v>647</v>
          </cell>
          <cell r="H196">
            <v>0.52395672333848498</v>
          </cell>
          <cell r="I196">
            <v>338.99999999999977</v>
          </cell>
          <cell r="J196">
            <v>161092.7999999999</v>
          </cell>
          <cell r="K196">
            <v>0.56723338485316799</v>
          </cell>
          <cell r="L196">
            <v>366.99999999999972</v>
          </cell>
          <cell r="M196">
            <v>296737.8499999998</v>
          </cell>
          <cell r="N196">
            <v>457830.64999999967</v>
          </cell>
        </row>
        <row r="197">
          <cell r="G197">
            <v>1061</v>
          </cell>
          <cell r="H197">
            <v>0.4721960414703108</v>
          </cell>
          <cell r="I197">
            <v>500.99999999999977</v>
          </cell>
          <cell r="J197">
            <v>224855.99999999988</v>
          </cell>
          <cell r="K197">
            <v>0.50612629594721914</v>
          </cell>
          <cell r="L197">
            <v>536.99999999999955</v>
          </cell>
          <cell r="M197">
            <v>399235.94999999966</v>
          </cell>
          <cell r="N197">
            <v>624091.94999999949</v>
          </cell>
        </row>
        <row r="200">
          <cell r="H200" t="str">
            <v>Primary</v>
          </cell>
          <cell r="I200">
            <v>14801.3125</v>
          </cell>
          <cell r="J200">
            <v>5381255.2278766334</v>
          </cell>
          <cell r="L200">
            <v>15218.649038461539</v>
          </cell>
          <cell r="M200">
            <v>7253074.0433677239</v>
          </cell>
          <cell r="N200">
            <v>12634329.271244358</v>
          </cell>
        </row>
        <row r="201">
          <cell r="H201" t="str">
            <v>Secondary</v>
          </cell>
          <cell r="I201">
            <v>9654.0000000000018</v>
          </cell>
          <cell r="J201">
            <v>4537380.0000000009</v>
          </cell>
          <cell r="L201">
            <v>10677</v>
          </cell>
          <cell r="M201">
            <v>4654463.7525417516</v>
          </cell>
          <cell r="N201">
            <v>9191843.7525417525</v>
          </cell>
        </row>
        <row r="202">
          <cell r="I202">
            <v>24455.3125</v>
          </cell>
          <cell r="J202">
            <v>9918635.2278766334</v>
          </cell>
          <cell r="L202">
            <v>25895.649038461539</v>
          </cell>
          <cell r="M202">
            <v>11907537.795909476</v>
          </cell>
          <cell r="N202">
            <v>21826173.023786109</v>
          </cell>
        </row>
        <row r="203">
          <cell r="I203">
            <v>0</v>
          </cell>
        </row>
        <row r="204">
          <cell r="H204" t="str">
            <v>Primary</v>
          </cell>
          <cell r="I204">
            <v>14354</v>
          </cell>
          <cell r="J204">
            <v>5649734.3999999994</v>
          </cell>
          <cell r="K204">
            <v>5218627.5738007147</v>
          </cell>
        </row>
        <row r="205">
          <cell r="I205">
            <v>106.3125</v>
          </cell>
          <cell r="J205">
            <v>41844.6</v>
          </cell>
          <cell r="K205">
            <v>38651.619335355193</v>
          </cell>
        </row>
        <row r="206">
          <cell r="I206">
            <v>179.00000000000017</v>
          </cell>
          <cell r="J206">
            <v>70454.400000000067</v>
          </cell>
          <cell r="K206">
            <v>65078.329086688645</v>
          </cell>
        </row>
        <row r="207">
          <cell r="I207">
            <v>162</v>
          </cell>
          <cell r="J207">
            <v>63763.199999999997</v>
          </cell>
          <cell r="K207">
            <v>58897.705653874582</v>
          </cell>
        </row>
        <row r="208">
          <cell r="I208">
            <v>14801.3125</v>
          </cell>
          <cell r="J208">
            <v>5825796.5999999996</v>
          </cell>
          <cell r="K208">
            <v>5381255.2278766334</v>
          </cell>
          <cell r="L208">
            <v>363.56608428317645</v>
          </cell>
        </row>
        <row r="210">
          <cell r="H210" t="str">
            <v>Secondary</v>
          </cell>
          <cell r="I210">
            <v>8490.0000000000018</v>
          </cell>
          <cell r="J210">
            <v>4034448.0000000005</v>
          </cell>
          <cell r="K210">
            <v>3990300.0000000009</v>
          </cell>
        </row>
        <row r="211">
          <cell r="I211">
            <v>397.99999999999966</v>
          </cell>
          <cell r="J211">
            <v>189129.59999999983</v>
          </cell>
          <cell r="K211">
            <v>187059.99999999983</v>
          </cell>
        </row>
        <row r="212">
          <cell r="I212">
            <v>427.0000000000004</v>
          </cell>
          <cell r="J212">
            <v>202910.4000000002</v>
          </cell>
          <cell r="K212">
            <v>200690.00000000017</v>
          </cell>
        </row>
        <row r="213">
          <cell r="I213">
            <v>338.99999999999977</v>
          </cell>
          <cell r="J213">
            <v>161092.7999999999</v>
          </cell>
          <cell r="K213">
            <v>159329.99999999988</v>
          </cell>
        </row>
        <row r="214">
          <cell r="I214">
            <v>9654.0000000000018</v>
          </cell>
          <cell r="J214">
            <v>4587580.8000000007</v>
          </cell>
          <cell r="K214">
            <v>4537380.0000000009</v>
          </cell>
          <cell r="L214">
            <v>470</v>
          </cell>
        </row>
        <row r="217">
          <cell r="H217" t="str">
            <v>NFF</v>
          </cell>
          <cell r="I217" t="str">
            <v>FSM</v>
          </cell>
          <cell r="J217" t="str">
            <v>Ever6</v>
          </cell>
        </row>
        <row r="218">
          <cell r="G218" t="str">
            <v>NFF Amount£</v>
          </cell>
          <cell r="H218" t="str">
            <v>Primary</v>
          </cell>
          <cell r="I218">
            <v>480</v>
          </cell>
          <cell r="J218">
            <v>705</v>
          </cell>
        </row>
        <row r="219">
          <cell r="H219" t="str">
            <v>Secondary</v>
          </cell>
          <cell r="I219">
            <v>480</v>
          </cell>
          <cell r="J219">
            <v>1030</v>
          </cell>
        </row>
        <row r="221">
          <cell r="G221" t="str">
            <v>Pupil Nos.</v>
          </cell>
          <cell r="H221" t="str">
            <v>Primary</v>
          </cell>
          <cell r="I221">
            <v>14801.3125</v>
          </cell>
          <cell r="J221">
            <v>15218.649038461539</v>
          </cell>
        </row>
        <row r="222">
          <cell r="H222" t="str">
            <v>Secondary</v>
          </cell>
          <cell r="I222">
            <v>9654.0000000000018</v>
          </cell>
          <cell r="J222">
            <v>10677</v>
          </cell>
        </row>
        <row r="224">
          <cell r="G224" t="str">
            <v>Funding Req. £</v>
          </cell>
          <cell r="H224" t="str">
            <v>Primary</v>
          </cell>
          <cell r="I224">
            <v>7104630</v>
          </cell>
          <cell r="J224">
            <v>10729147.572115386</v>
          </cell>
        </row>
        <row r="225">
          <cell r="H225" t="str">
            <v>Secondary</v>
          </cell>
          <cell r="I225">
            <v>4633920.0000000009</v>
          </cell>
          <cell r="J225">
            <v>10997310</v>
          </cell>
        </row>
        <row r="226">
          <cell r="I226">
            <v>11738550</v>
          </cell>
          <cell r="J226">
            <v>21726457.572115384</v>
          </cell>
        </row>
        <row r="227">
          <cell r="I227" t="str">
            <v>FSM</v>
          </cell>
          <cell r="J227" t="str">
            <v>Ever6</v>
          </cell>
        </row>
        <row r="228">
          <cell r="G228" t="str">
            <v>Proportion %</v>
          </cell>
          <cell r="H228" t="str">
            <v>Primary</v>
          </cell>
          <cell r="I228">
            <v>0.21230026572352881</v>
          </cell>
          <cell r="J228">
            <v>0.32060795291901906</v>
          </cell>
        </row>
        <row r="229">
          <cell r="H229" t="str">
            <v>Secondary</v>
          </cell>
          <cell r="I229">
            <v>0.182</v>
          </cell>
          <cell r="J229">
            <v>0.27800000000000002</v>
          </cell>
          <cell r="K229">
            <v>0.46</v>
          </cell>
        </row>
        <row r="230">
          <cell r="I230">
            <v>0.39430026572352883</v>
          </cell>
          <cell r="J230">
            <v>0.59860795291901914</v>
          </cell>
        </row>
        <row r="232">
          <cell r="I232">
            <v>16419062.823774282</v>
          </cell>
        </row>
        <row r="233">
          <cell r="G233" t="str">
            <v>Sheff Amount £</v>
          </cell>
          <cell r="H233" t="str">
            <v>Primary</v>
          </cell>
          <cell r="I233">
            <v>4181318.5814681947</v>
          </cell>
          <cell r="J233">
            <v>4181318.5814681947</v>
          </cell>
        </row>
        <row r="234">
          <cell r="H234" t="str">
            <v>Secondary</v>
          </cell>
          <cell r="I234">
            <v>4028212.8304189467</v>
          </cell>
          <cell r="J234">
            <v>4028212.8304189467</v>
          </cell>
          <cell r="K234">
            <v>0</v>
          </cell>
        </row>
        <row r="235">
          <cell r="I235">
            <v>8209531.4118871409</v>
          </cell>
          <cell r="J235">
            <v>8209531.4118871409</v>
          </cell>
          <cell r="K235" t="str">
            <v>Amounts to use</v>
          </cell>
        </row>
        <row r="236">
          <cell r="I236" t="str">
            <v>FSM</v>
          </cell>
          <cell r="J236" t="str">
            <v>Ever6</v>
          </cell>
          <cell r="K236" t="str">
            <v>FSM</v>
          </cell>
          <cell r="L236" t="str">
            <v>Ever6</v>
          </cell>
        </row>
        <row r="237">
          <cell r="G237" t="str">
            <v>New Amount£</v>
          </cell>
          <cell r="H237" t="str">
            <v>Primary</v>
          </cell>
          <cell r="I237">
            <v>282.49647330047213</v>
          </cell>
          <cell r="J237">
            <v>274.74965556409774</v>
          </cell>
          <cell r="K237">
            <v>282.49647330047213</v>
          </cell>
          <cell r="L237">
            <v>274.74965556409774</v>
          </cell>
        </row>
        <row r="238">
          <cell r="H238" t="str">
            <v>Secondary</v>
          </cell>
          <cell r="I238">
            <v>417.25842453065525</v>
          </cell>
          <cell r="J238">
            <v>377.27946337163496</v>
          </cell>
          <cell r="K238">
            <v>417.25842453065525</v>
          </cell>
          <cell r="L238">
            <v>377.27946337163496</v>
          </cell>
        </row>
        <row r="240">
          <cell r="H240">
            <v>0.5</v>
          </cell>
          <cell r="I240">
            <v>0.50695098389661231</v>
          </cell>
          <cell r="J240">
            <v>0.49304901610338764</v>
          </cell>
        </row>
        <row r="241">
          <cell r="I241">
            <v>0.52515862476021835</v>
          </cell>
          <cell r="J241">
            <v>0.47484137523978165</v>
          </cell>
        </row>
        <row r="243">
          <cell r="H243" t="str">
            <v>Balance sheet</v>
          </cell>
          <cell r="I243">
            <v>0.25347549194830615</v>
          </cell>
          <cell r="J243">
            <v>0.24652450805169382</v>
          </cell>
        </row>
        <row r="244">
          <cell r="I244">
            <v>0.26257931238010918</v>
          </cell>
          <cell r="J244">
            <v>0.23742068761989082</v>
          </cell>
        </row>
      </sheetData>
      <sheetData sheetId="35">
        <row r="1">
          <cell r="E1" t="str">
            <v>IDACI Funding</v>
          </cell>
          <cell r="G1" t="str">
            <v>2023-24</v>
          </cell>
          <cell r="I1" t="e">
            <v>#REF!</v>
          </cell>
          <cell r="J1">
            <v>425455551</v>
          </cell>
        </row>
        <row r="3">
          <cell r="F3" t="str">
            <v>Band</v>
          </cell>
          <cell r="G3" t="str">
            <v>A</v>
          </cell>
          <cell r="H3" t="str">
            <v>B</v>
          </cell>
          <cell r="I3" t="str">
            <v>C</v>
          </cell>
          <cell r="J3" t="str">
            <v>D</v>
          </cell>
          <cell r="K3" t="str">
            <v>E</v>
          </cell>
          <cell r="L3" t="str">
            <v>F</v>
          </cell>
          <cell r="P3" t="str">
            <v>Add Fund</v>
          </cell>
        </row>
        <row r="4">
          <cell r="F4">
            <v>10604955.771712901</v>
          </cell>
          <cell r="P4">
            <v>0</v>
          </cell>
        </row>
        <row r="5">
          <cell r="F5" t="str">
            <v>Sheffield 2022-23 Values £</v>
          </cell>
          <cell r="G5">
            <v>490.76117160685669</v>
          </cell>
          <cell r="H5">
            <v>375.96380082783378</v>
          </cell>
          <cell r="I5">
            <v>352.28503445976003</v>
          </cell>
          <cell r="J5">
            <v>324.30980703034078</v>
          </cell>
          <cell r="K5">
            <v>205.91597518997216</v>
          </cell>
          <cell r="L5">
            <v>170.04782563786159</v>
          </cell>
        </row>
        <row r="6">
          <cell r="F6" t="str">
            <v>NFF Rates</v>
          </cell>
          <cell r="G6">
            <v>670</v>
          </cell>
          <cell r="H6">
            <v>510</v>
          </cell>
          <cell r="I6">
            <v>480</v>
          </cell>
          <cell r="J6">
            <v>440</v>
          </cell>
          <cell r="K6">
            <v>280</v>
          </cell>
          <cell r="L6">
            <v>230</v>
          </cell>
        </row>
        <row r="7">
          <cell r="F7" t="str">
            <v>NFF Min Movement Rate £</v>
          </cell>
          <cell r="G7">
            <v>535.69000000000005</v>
          </cell>
          <cell r="H7">
            <v>407.37</v>
          </cell>
          <cell r="I7">
            <v>383.06</v>
          </cell>
          <cell r="J7">
            <v>353.88</v>
          </cell>
          <cell r="K7">
            <v>222.32</v>
          </cell>
          <cell r="L7">
            <v>185.04</v>
          </cell>
        </row>
        <row r="8">
          <cell r="F8" t="str">
            <v>NFF Max Rate £</v>
          </cell>
          <cell r="G8">
            <v>670</v>
          </cell>
          <cell r="H8">
            <v>510</v>
          </cell>
          <cell r="I8">
            <v>480</v>
          </cell>
          <cell r="J8">
            <v>440</v>
          </cell>
          <cell r="K8">
            <v>280</v>
          </cell>
          <cell r="L8">
            <v>230</v>
          </cell>
        </row>
        <row r="9">
          <cell r="F9" t="str">
            <v>Calculated 23-24 Rate £</v>
          </cell>
          <cell r="G9">
            <v>612.69401326795628</v>
          </cell>
          <cell r="H9">
            <v>466.37902502486224</v>
          </cell>
          <cell r="I9">
            <v>438.94496472928211</v>
          </cell>
          <cell r="J9">
            <v>402.36621766850863</v>
          </cell>
          <cell r="K9">
            <v>256.05122942541453</v>
          </cell>
          <cell r="L9">
            <v>210.32779559944768</v>
          </cell>
        </row>
        <row r="10">
          <cell r="F10" t="str">
            <v>Primary - Band Value £</v>
          </cell>
          <cell r="G10">
            <v>612.69401326795628</v>
          </cell>
          <cell r="H10">
            <v>466.37902502486224</v>
          </cell>
          <cell r="I10">
            <v>438.94496472928211</v>
          </cell>
          <cell r="J10">
            <v>402.36621766850863</v>
          </cell>
          <cell r="K10">
            <v>256.05122942541453</v>
          </cell>
          <cell r="L10">
            <v>210.32779559944768</v>
          </cell>
        </row>
        <row r="11">
          <cell r="F11" t="str">
            <v>Primary - Pupils</v>
          </cell>
          <cell r="G11">
            <v>3514.1505524199183</v>
          </cell>
          <cell r="H11">
            <v>8306.551622314184</v>
          </cell>
          <cell r="I11">
            <v>4626.0368218461517</v>
          </cell>
          <cell r="J11">
            <v>2471.5623543940105</v>
          </cell>
          <cell r="K11">
            <v>3623.1385182607983</v>
          </cell>
          <cell r="L11">
            <v>2972.0155624582562</v>
          </cell>
          <cell r="M11">
            <v>25513.455431693317</v>
          </cell>
        </row>
        <row r="12">
          <cell r="F12" t="str">
            <v>Weighting</v>
          </cell>
          <cell r="G12">
            <v>1</v>
          </cell>
          <cell r="H12">
            <v>0.76119402985074625</v>
          </cell>
          <cell r="I12">
            <v>0.71641791044776115</v>
          </cell>
          <cell r="J12">
            <v>0.65671641791044777</v>
          </cell>
          <cell r="K12">
            <v>0.41791044776119401</v>
          </cell>
          <cell r="L12">
            <v>0.34328358208955223</v>
          </cell>
        </row>
        <row r="13">
          <cell r="F13" t="str">
            <v>Primary - Weighted Pupils</v>
          </cell>
          <cell r="G13">
            <v>3514.1505524199183</v>
          </cell>
          <cell r="H13">
            <v>6322.8975035525873</v>
          </cell>
          <cell r="I13">
            <v>3314.1756335614218</v>
          </cell>
          <cell r="J13">
            <v>1623.1155760199472</v>
          </cell>
          <cell r="K13">
            <v>1514.1474404671992</v>
          </cell>
          <cell r="L13">
            <v>1020.2441483065655</v>
          </cell>
          <cell r="M13">
            <v>17308.730854327638</v>
          </cell>
          <cell r="P13">
            <v>0</v>
          </cell>
        </row>
        <row r="14">
          <cell r="F14" t="str">
            <v>Allocation Primary £</v>
          </cell>
          <cell r="G14">
            <v>2153099.0051899655</v>
          </cell>
          <cell r="H14">
            <v>3874001.4469335768</v>
          </cell>
          <cell r="I14">
            <v>2030575.5696016194</v>
          </cell>
          <cell r="J14">
            <v>994473.19626939215</v>
          </cell>
          <cell r="K14">
            <v>927709.07197925216</v>
          </cell>
          <cell r="L14">
            <v>625097.48173909762</v>
          </cell>
          <cell r="M14">
            <v>10604955.771712901</v>
          </cell>
        </row>
        <row r="15">
          <cell r="F15">
            <v>9327900.6082357541</v>
          </cell>
          <cell r="M15">
            <v>0</v>
          </cell>
        </row>
        <row r="16">
          <cell r="F16" t="str">
            <v>Sheffield 2022-23 Values £</v>
          </cell>
          <cell r="G16">
            <v>721.96642146439956</v>
          </cell>
          <cell r="H16">
            <v>567.58169548646424</v>
          </cell>
          <cell r="I16">
            <v>525.95068846540073</v>
          </cell>
          <cell r="J16">
            <v>483.9696814443372</v>
          </cell>
          <cell r="K16">
            <v>346.23735827482744</v>
          </cell>
          <cell r="L16">
            <v>258.812243530594</v>
          </cell>
        </row>
        <row r="17">
          <cell r="F17" t="str">
            <v>NFF Rates</v>
          </cell>
          <cell r="G17">
            <v>930</v>
          </cell>
          <cell r="H17">
            <v>730</v>
          </cell>
          <cell r="I17">
            <v>680</v>
          </cell>
          <cell r="J17">
            <v>620</v>
          </cell>
          <cell r="K17">
            <v>445</v>
          </cell>
          <cell r="L17">
            <v>335</v>
          </cell>
        </row>
        <row r="18">
          <cell r="F18" t="str">
            <v>NFF Min Movement Rate £</v>
          </cell>
          <cell r="G18">
            <v>778.77</v>
          </cell>
          <cell r="H18">
            <v>610.82000000000005</v>
          </cell>
          <cell r="I18">
            <v>568.36</v>
          </cell>
          <cell r="J18">
            <v>520.07000000000005</v>
          </cell>
          <cell r="K18">
            <v>374.11</v>
          </cell>
          <cell r="L18">
            <v>279.93</v>
          </cell>
        </row>
        <row r="19">
          <cell r="F19" t="str">
            <v>NFF Max Rate £</v>
          </cell>
          <cell r="G19">
            <v>930</v>
          </cell>
          <cell r="H19">
            <v>730</v>
          </cell>
          <cell r="I19">
            <v>680</v>
          </cell>
          <cell r="J19">
            <v>620</v>
          </cell>
          <cell r="K19">
            <v>445</v>
          </cell>
          <cell r="L19">
            <v>335</v>
          </cell>
        </row>
        <row r="20">
          <cell r="F20" t="str">
            <v>Calculated 23-24 Rate £</v>
          </cell>
          <cell r="G20">
            <v>782.19153309689966</v>
          </cell>
          <cell r="H20">
            <v>613.97830017283525</v>
          </cell>
          <cell r="I20">
            <v>571.92499194181914</v>
          </cell>
          <cell r="J20">
            <v>521.46102206459977</v>
          </cell>
          <cell r="K20">
            <v>374.27444325604341</v>
          </cell>
          <cell r="L20">
            <v>281.75716514780794</v>
          </cell>
        </row>
        <row r="21">
          <cell r="F21" t="str">
            <v>Secondary - Band Value £</v>
          </cell>
          <cell r="G21">
            <v>782.19153309689966</v>
          </cell>
          <cell r="H21">
            <v>613.97830017283525</v>
          </cell>
          <cell r="I21">
            <v>571.92499194181914</v>
          </cell>
          <cell r="J21">
            <v>521.46102206459977</v>
          </cell>
          <cell r="K21">
            <v>374.27444325604341</v>
          </cell>
          <cell r="L21">
            <v>281.75716514780794</v>
          </cell>
        </row>
        <row r="22">
          <cell r="F22" t="str">
            <v>Secondary - Pupils</v>
          </cell>
          <cell r="G22">
            <v>2343.1611596397415</v>
          </cell>
          <cell r="H22">
            <v>5478.9591642691958</v>
          </cell>
          <cell r="I22">
            <v>3204.6083478861451</v>
          </cell>
          <cell r="J22">
            <v>1595.5319472896747</v>
          </cell>
          <cell r="K22">
            <v>2393.7653084593935</v>
          </cell>
          <cell r="L22">
            <v>2024.4711511392773</v>
          </cell>
          <cell r="M22">
            <v>17040.497078683427</v>
          </cell>
        </row>
        <row r="23">
          <cell r="F23" t="str">
            <v>Weighting</v>
          </cell>
          <cell r="G23">
            <v>1</v>
          </cell>
          <cell r="H23">
            <v>0.78494623655913975</v>
          </cell>
          <cell r="I23">
            <v>0.73118279569892475</v>
          </cell>
          <cell r="J23">
            <v>0.66666666666666663</v>
          </cell>
          <cell r="K23">
            <v>0.478494623655914</v>
          </cell>
          <cell r="L23">
            <v>0.36021505376344087</v>
          </cell>
        </row>
        <row r="24">
          <cell r="F24" t="str">
            <v>Secondary - Weighted Pupils</v>
          </cell>
          <cell r="G24">
            <v>2343.1611596397415</v>
          </cell>
          <cell r="H24">
            <v>4300.6883762543148</v>
          </cell>
          <cell r="I24">
            <v>2343.154490927504</v>
          </cell>
          <cell r="J24">
            <v>1063.6879648597831</v>
          </cell>
          <cell r="K24">
            <v>1145.4038303918603</v>
          </cell>
          <cell r="L24">
            <v>729.24498455016976</v>
          </cell>
          <cell r="M24">
            <v>11925.340806623373</v>
          </cell>
          <cell r="P24">
            <v>0</v>
          </cell>
        </row>
        <row r="25">
          <cell r="F25" t="str">
            <v>Allocation Secondary £</v>
          </cell>
          <cell r="G25">
            <v>1832800.8197517188</v>
          </cell>
          <cell r="H25">
            <v>3363962.0343943788</v>
          </cell>
          <cell r="I25">
            <v>1832795.6035414699</v>
          </cell>
          <cell r="J25">
            <v>832007.71997039486</v>
          </cell>
          <cell r="K25">
            <v>895925.17810927052</v>
          </cell>
          <cell r="L25">
            <v>570409.25246852217</v>
          </cell>
          <cell r="M25">
            <v>9327900.6082357541</v>
          </cell>
        </row>
        <row r="26">
          <cell r="F26" t="str">
            <v>Total Allocation £</v>
          </cell>
          <cell r="G26">
            <v>3985899.8249416845</v>
          </cell>
          <cell r="H26">
            <v>7237963.4813279556</v>
          </cell>
          <cell r="I26">
            <v>3863371.1731430893</v>
          </cell>
          <cell r="J26">
            <v>1826480.9162397869</v>
          </cell>
          <cell r="K26">
            <v>1823634.2500885227</v>
          </cell>
          <cell r="L26">
            <v>1195506.7342076199</v>
          </cell>
          <cell r="M26">
            <v>19932856.379948653</v>
          </cell>
          <cell r="P26">
            <v>0</v>
          </cell>
        </row>
        <row r="27">
          <cell r="M27">
            <v>0</v>
          </cell>
        </row>
        <row r="28">
          <cell r="G28">
            <v>35</v>
          </cell>
          <cell r="H28">
            <v>34</v>
          </cell>
          <cell r="I28">
            <v>33</v>
          </cell>
          <cell r="J28">
            <v>32</v>
          </cell>
          <cell r="K28">
            <v>31</v>
          </cell>
          <cell r="L28">
            <v>30</v>
          </cell>
          <cell r="M28">
            <v>29</v>
          </cell>
        </row>
        <row r="29">
          <cell r="E29" t="str">
            <v>DfE</v>
          </cell>
          <cell r="F29" t="str">
            <v>School</v>
          </cell>
          <cell r="G29" t="str">
            <v>Band A %</v>
          </cell>
          <cell r="H29" t="str">
            <v>Band B %</v>
          </cell>
          <cell r="I29" t="str">
            <v>Band C %</v>
          </cell>
          <cell r="J29" t="str">
            <v>Band D %</v>
          </cell>
          <cell r="K29" t="str">
            <v>Band E %</v>
          </cell>
          <cell r="L29" t="str">
            <v>Band F %</v>
          </cell>
          <cell r="M29" t="str">
            <v>Band G %</v>
          </cell>
          <cell r="N29" t="str">
            <v>Total %</v>
          </cell>
          <cell r="P29" t="str">
            <v xml:space="preserve">Band A </v>
          </cell>
          <cell r="Q29" t="str">
            <v xml:space="preserve">Band B </v>
          </cell>
          <cell r="R29" t="str">
            <v xml:space="preserve">Band C </v>
          </cell>
          <cell r="S29" t="str">
            <v xml:space="preserve">Band D </v>
          </cell>
          <cell r="T29" t="str">
            <v xml:space="preserve">Band E </v>
          </cell>
          <cell r="U29" t="str">
            <v xml:space="preserve">Band F </v>
          </cell>
          <cell r="V29" t="str">
            <v xml:space="preserve">Band G </v>
          </cell>
          <cell r="W29" t="str">
            <v xml:space="preserve">Total </v>
          </cell>
          <cell r="Y29" t="str">
            <v>Band A £</v>
          </cell>
          <cell r="Z29" t="str">
            <v>Band B £</v>
          </cell>
          <cell r="AA29" t="str">
            <v>Band C £</v>
          </cell>
          <cell r="AB29" t="str">
            <v>Band D £</v>
          </cell>
          <cell r="AC29" t="str">
            <v>Band E £</v>
          </cell>
          <cell r="AD29" t="str">
            <v>Band F £</v>
          </cell>
          <cell r="AE29" t="str">
            <v>Total £</v>
          </cell>
          <cell r="AG29" t="str">
            <v>2022-23</v>
          </cell>
          <cell r="AH29" t="str">
            <v>£ Var</v>
          </cell>
          <cell r="AI29" t="str">
            <v>% Var</v>
          </cell>
        </row>
        <row r="31">
          <cell r="E31">
            <v>2001</v>
          </cell>
          <cell r="F31" t="str">
            <v>Abbey Lane Primary School</v>
          </cell>
          <cell r="G31">
            <v>3.66300366300366E-3</v>
          </cell>
          <cell r="H31">
            <v>5.6776556776556797E-2</v>
          </cell>
          <cell r="I31">
            <v>4.0293040293040303E-2</v>
          </cell>
          <cell r="J31">
            <v>2.0146520146520099E-2</v>
          </cell>
          <cell r="K31">
            <v>3.6630036630036597E-2</v>
          </cell>
          <cell r="L31">
            <v>0.124542124542125</v>
          </cell>
          <cell r="M31">
            <v>0.71794871794871795</v>
          </cell>
          <cell r="N31">
            <v>1.0000000000000004</v>
          </cell>
          <cell r="P31">
            <v>1.9999999999999984</v>
          </cell>
          <cell r="Q31">
            <v>31.000000000000011</v>
          </cell>
          <cell r="R31">
            <v>22.000000000000004</v>
          </cell>
          <cell r="S31">
            <v>10.999999999999973</v>
          </cell>
          <cell r="T31">
            <v>19.999999999999982</v>
          </cell>
          <cell r="U31">
            <v>68.000000000000256</v>
          </cell>
          <cell r="V31">
            <v>392</v>
          </cell>
          <cell r="W31">
            <v>546</v>
          </cell>
          <cell r="Y31">
            <v>1225.3880265359116</v>
          </cell>
          <cell r="Z31">
            <v>14457.749775770735</v>
          </cell>
          <cell r="AA31">
            <v>9656.789224044207</v>
          </cell>
          <cell r="AB31">
            <v>4426.0283943535842</v>
          </cell>
          <cell r="AC31">
            <v>5121.0245885082859</v>
          </cell>
          <cell r="AD31">
            <v>14302.290100762497</v>
          </cell>
          <cell r="AE31">
            <v>49189.270109975216</v>
          </cell>
          <cell r="AG31">
            <v>42044.295237858569</v>
          </cell>
          <cell r="AH31">
            <v>7144.974872116647</v>
          </cell>
          <cell r="AI31">
            <v>0.14525474470636024</v>
          </cell>
        </row>
        <row r="32">
          <cell r="E32">
            <v>2046</v>
          </cell>
          <cell r="F32" t="str">
            <v>Abbeyfield Primary Academy</v>
          </cell>
          <cell r="G32">
            <v>4.5698924731182797E-2</v>
          </cell>
          <cell r="H32">
            <v>8.3333333333333301E-2</v>
          </cell>
          <cell r="I32">
            <v>0.17741935483870999</v>
          </cell>
          <cell r="J32">
            <v>0.18548387096774199</v>
          </cell>
          <cell r="K32">
            <v>0.43548387096774199</v>
          </cell>
          <cell r="L32">
            <v>4.8387096774193498E-2</v>
          </cell>
          <cell r="M32">
            <v>2.4193548387096801E-2</v>
          </cell>
          <cell r="N32">
            <v>1.0000000000000004</v>
          </cell>
          <cell r="P32">
            <v>17</v>
          </cell>
          <cell r="Q32">
            <v>30.999999999999989</v>
          </cell>
          <cell r="R32">
            <v>66.000000000000114</v>
          </cell>
          <cell r="S32">
            <v>69.000000000000028</v>
          </cell>
          <cell r="T32">
            <v>162.00000000000003</v>
          </cell>
          <cell r="U32">
            <v>17.999999999999982</v>
          </cell>
          <cell r="V32">
            <v>9.0000000000000107</v>
          </cell>
          <cell r="W32">
            <v>372</v>
          </cell>
          <cell r="Y32">
            <v>10415.798225555256</v>
          </cell>
          <cell r="Z32">
            <v>14457.749775770724</v>
          </cell>
          <cell r="AA32">
            <v>28970.36767213267</v>
          </cell>
          <cell r="AB32">
            <v>27763.269019127107</v>
          </cell>
          <cell r="AC32">
            <v>41480.299166917161</v>
          </cell>
          <cell r="AD32">
            <v>3785.9003207900546</v>
          </cell>
          <cell r="AE32">
            <v>126873.38418029297</v>
          </cell>
          <cell r="AG32">
            <v>96803.341099452475</v>
          </cell>
          <cell r="AH32">
            <v>30070.043080840493</v>
          </cell>
          <cell r="AI32">
            <v>0.2370082840866731</v>
          </cell>
        </row>
        <row r="33">
          <cell r="E33">
            <v>2048</v>
          </cell>
          <cell r="F33" t="str">
            <v>Acres Hill Community Primary School</v>
          </cell>
          <cell r="G33">
            <v>5.3658536585365901E-2</v>
          </cell>
          <cell r="H33">
            <v>0.10243902439024399</v>
          </cell>
          <cell r="I33">
            <v>1.9512195121951199E-2</v>
          </cell>
          <cell r="J33">
            <v>0.41951219512195098</v>
          </cell>
          <cell r="K33">
            <v>0.39024390243902402</v>
          </cell>
          <cell r="L33">
            <v>9.7560975609756097E-3</v>
          </cell>
          <cell r="M33">
            <v>4.8780487804877997E-3</v>
          </cell>
          <cell r="N33">
            <v>0.99999999999999956</v>
          </cell>
          <cell r="P33">
            <v>11.000000000000011</v>
          </cell>
          <cell r="Q33">
            <v>21.000000000000018</v>
          </cell>
          <cell r="R33">
            <v>3.9999999999999956</v>
          </cell>
          <cell r="S33">
            <v>85.999999999999957</v>
          </cell>
          <cell r="T33">
            <v>79.999999999999929</v>
          </cell>
          <cell r="U33">
            <v>2</v>
          </cell>
          <cell r="V33">
            <v>0.99999999999999889</v>
          </cell>
          <cell r="W33">
            <v>205</v>
          </cell>
          <cell r="Y33">
            <v>6739.6341459475252</v>
          </cell>
          <cell r="Z33">
            <v>9793.9595255221157</v>
          </cell>
          <cell r="AA33">
            <v>1755.7798589171264</v>
          </cell>
          <cell r="AB33">
            <v>34603.494719491726</v>
          </cell>
          <cell r="AC33">
            <v>20484.098354033144</v>
          </cell>
          <cell r="AD33">
            <v>420.65559119889537</v>
          </cell>
          <cell r="AE33">
            <v>73797.622195110525</v>
          </cell>
          <cell r="AG33">
            <v>56101.324927758164</v>
          </cell>
          <cell r="AH33">
            <v>17696.297267352362</v>
          </cell>
          <cell r="AI33">
            <v>0.23979495193714837</v>
          </cell>
        </row>
        <row r="34">
          <cell r="E34">
            <v>2342</v>
          </cell>
          <cell r="F34" t="str">
            <v>Angram Bank Primary School</v>
          </cell>
          <cell r="G34">
            <v>2.7173913043478298E-2</v>
          </cell>
          <cell r="H34">
            <v>0.42934782608695699</v>
          </cell>
          <cell r="I34">
            <v>1.0869565217391301E-2</v>
          </cell>
          <cell r="J34">
            <v>0</v>
          </cell>
          <cell r="K34">
            <v>0.26630434782608697</v>
          </cell>
          <cell r="L34">
            <v>5.4347826086956503E-3</v>
          </cell>
          <cell r="M34">
            <v>0.26086956521739102</v>
          </cell>
          <cell r="N34">
            <v>1.0000000000000002</v>
          </cell>
          <cell r="P34">
            <v>5.0000000000000071</v>
          </cell>
          <cell r="Q34">
            <v>79.000000000000085</v>
          </cell>
          <cell r="R34">
            <v>1.9999999999999993</v>
          </cell>
          <cell r="S34">
            <v>0</v>
          </cell>
          <cell r="T34">
            <v>49</v>
          </cell>
          <cell r="U34">
            <v>0.99999999999999967</v>
          </cell>
          <cell r="V34">
            <v>47.99999999999995</v>
          </cell>
          <cell r="W34">
            <v>184</v>
          </cell>
          <cell r="Y34">
            <v>3063.4700663397857</v>
          </cell>
          <cell r="Z34">
            <v>36843.942976964157</v>
          </cell>
          <cell r="AA34">
            <v>877.88992945856387</v>
          </cell>
          <cell r="AB34">
            <v>0</v>
          </cell>
          <cell r="AC34">
            <v>12546.510241845312</v>
          </cell>
          <cell r="AD34">
            <v>210.32779559944763</v>
          </cell>
          <cell r="AE34">
            <v>53542.14101020727</v>
          </cell>
          <cell r="AG34">
            <v>42363.222739582161</v>
          </cell>
          <cell r="AH34">
            <v>11178.918270625109</v>
          </cell>
          <cell r="AI34">
            <v>0.20878728529914334</v>
          </cell>
        </row>
        <row r="35">
          <cell r="E35">
            <v>2343</v>
          </cell>
          <cell r="F35" t="str">
            <v>Anns Grove Primary School</v>
          </cell>
          <cell r="G35">
            <v>4.7904191616766498E-2</v>
          </cell>
          <cell r="H35">
            <v>8.3832335329341298E-2</v>
          </cell>
          <cell r="I35">
            <v>0.20359281437125701</v>
          </cell>
          <cell r="J35">
            <v>0.29341317365269498</v>
          </cell>
          <cell r="K35">
            <v>7.7844311377245498E-2</v>
          </cell>
          <cell r="L35">
            <v>6.5868263473053898E-2</v>
          </cell>
          <cell r="M35">
            <v>0.22754491017964101</v>
          </cell>
          <cell r="N35">
            <v>1.0000000000000002</v>
          </cell>
          <cell r="P35">
            <v>16.000000000000011</v>
          </cell>
          <cell r="Q35">
            <v>27.999999999999993</v>
          </cell>
          <cell r="R35">
            <v>67.999999999999844</v>
          </cell>
          <cell r="S35">
            <v>98.000000000000128</v>
          </cell>
          <cell r="T35">
            <v>25.999999999999996</v>
          </cell>
          <cell r="U35">
            <v>22.000000000000004</v>
          </cell>
          <cell r="V35">
            <v>76.000000000000099</v>
          </cell>
          <cell r="W35">
            <v>334</v>
          </cell>
          <cell r="Y35">
            <v>9803.1042122873077</v>
          </cell>
          <cell r="Z35">
            <v>13058.61270069614</v>
          </cell>
          <cell r="AA35">
            <v>29848.257601591115</v>
          </cell>
          <cell r="AB35">
            <v>39431.889331513899</v>
          </cell>
          <cell r="AC35">
            <v>6657.3319650607773</v>
          </cell>
          <cell r="AD35">
            <v>4627.2115031878502</v>
          </cell>
          <cell r="AE35">
            <v>103426.40731433709</v>
          </cell>
          <cell r="AG35">
            <v>87289.231013284356</v>
          </cell>
          <cell r="AH35">
            <v>16137.176301052736</v>
          </cell>
          <cell r="AI35">
            <v>0.15602568744371131</v>
          </cell>
        </row>
        <row r="36">
          <cell r="E36">
            <v>3429</v>
          </cell>
          <cell r="F36" t="str">
            <v>Arbourthorne Community Primary School</v>
          </cell>
          <cell r="G36">
            <v>0.23571428571428599</v>
          </cell>
          <cell r="H36">
            <v>0.54523809523809497</v>
          </cell>
          <cell r="I36">
            <v>8.5714285714285701E-2</v>
          </cell>
          <cell r="J36">
            <v>9.2857142857142902E-2</v>
          </cell>
          <cell r="K36">
            <v>7.14285714285714E-3</v>
          </cell>
          <cell r="L36">
            <v>7.14285714285714E-3</v>
          </cell>
          <cell r="M36">
            <v>2.6190476190476202E-2</v>
          </cell>
          <cell r="N36">
            <v>1</v>
          </cell>
          <cell r="P36">
            <v>99.000000000000114</v>
          </cell>
          <cell r="Q36">
            <v>228.99999999999989</v>
          </cell>
          <cell r="R36">
            <v>35.999999999999993</v>
          </cell>
          <cell r="S36">
            <v>39.000000000000021</v>
          </cell>
          <cell r="T36">
            <v>2.9999999999999987</v>
          </cell>
          <cell r="U36">
            <v>2.9999999999999987</v>
          </cell>
          <cell r="V36">
            <v>11.000000000000005</v>
          </cell>
          <cell r="W36">
            <v>420</v>
          </cell>
          <cell r="Y36">
            <v>60656.707313527739</v>
          </cell>
          <cell r="Z36">
            <v>106800.7967306934</v>
          </cell>
          <cell r="AA36">
            <v>15802.018730254153</v>
          </cell>
          <cell r="AB36">
            <v>15692.282489071846</v>
          </cell>
          <cell r="AC36">
            <v>768.1536882762432</v>
          </cell>
          <cell r="AD36">
            <v>630.98338679834274</v>
          </cell>
          <cell r="AE36">
            <v>200350.94233862171</v>
          </cell>
          <cell r="AG36">
            <v>155152.555910055</v>
          </cell>
          <cell r="AH36">
            <v>45198.386428566708</v>
          </cell>
          <cell r="AI36">
            <v>0.22559607607023369</v>
          </cell>
        </row>
        <row r="37">
          <cell r="E37">
            <v>2340</v>
          </cell>
          <cell r="F37" t="str">
            <v>Athelstan Primary School</v>
          </cell>
          <cell r="G37">
            <v>5.3745928338762197E-2</v>
          </cell>
          <cell r="H37">
            <v>6.6775244299674297E-2</v>
          </cell>
          <cell r="I37">
            <v>0.218241042345277</v>
          </cell>
          <cell r="J37">
            <v>9.2833876221498399E-2</v>
          </cell>
          <cell r="K37">
            <v>0.136807817589577</v>
          </cell>
          <cell r="L37">
            <v>3.5830618892508097E-2</v>
          </cell>
          <cell r="M37">
            <v>0.39576547231270398</v>
          </cell>
          <cell r="N37">
            <v>1.0000000000000009</v>
          </cell>
          <cell r="P37">
            <v>32.999999999999986</v>
          </cell>
          <cell r="Q37">
            <v>41.000000000000021</v>
          </cell>
          <cell r="R37">
            <v>134.00000000000009</v>
          </cell>
          <cell r="S37">
            <v>57.000000000000014</v>
          </cell>
          <cell r="T37">
            <v>84.00000000000027</v>
          </cell>
          <cell r="U37">
            <v>21.999999999999972</v>
          </cell>
          <cell r="V37">
            <v>243.00000000000026</v>
          </cell>
          <cell r="W37">
            <v>614</v>
          </cell>
          <cell r="Y37">
            <v>20218.902437842549</v>
          </cell>
          <cell r="Z37">
            <v>19121.540026019364</v>
          </cell>
          <cell r="AA37">
            <v>58818.625273723839</v>
          </cell>
          <cell r="AB37">
            <v>22934.874407104999</v>
          </cell>
          <cell r="AC37">
            <v>21508.303271734891</v>
          </cell>
          <cell r="AD37">
            <v>4627.2115031878429</v>
          </cell>
          <cell r="AE37">
            <v>147229.45691961347</v>
          </cell>
          <cell r="AG37">
            <v>117250.35540342539</v>
          </cell>
          <cell r="AH37">
            <v>29979.101516188079</v>
          </cell>
          <cell r="AI37">
            <v>0.20362162670039946</v>
          </cell>
        </row>
        <row r="38">
          <cell r="E38">
            <v>2281</v>
          </cell>
          <cell r="F38" t="str">
            <v>Ballifield Primary School</v>
          </cell>
          <cell r="G38">
            <v>1.44578313253012E-2</v>
          </cell>
          <cell r="H38">
            <v>1.44578313253012E-2</v>
          </cell>
          <cell r="I38">
            <v>3.13253012048193E-2</v>
          </cell>
          <cell r="J38">
            <v>3.13253012048193E-2</v>
          </cell>
          <cell r="K38">
            <v>1.68674698795181E-2</v>
          </cell>
          <cell r="L38">
            <v>0.260240963855422</v>
          </cell>
          <cell r="M38">
            <v>0.631325301204819</v>
          </cell>
          <cell r="N38">
            <v>1</v>
          </cell>
          <cell r="P38">
            <v>5.9999999999999982</v>
          </cell>
          <cell r="Q38">
            <v>5.9999999999999982</v>
          </cell>
          <cell r="R38">
            <v>13.000000000000009</v>
          </cell>
          <cell r="S38">
            <v>13.000000000000009</v>
          </cell>
          <cell r="T38">
            <v>7.0000000000000115</v>
          </cell>
          <cell r="U38">
            <v>108.00000000000013</v>
          </cell>
          <cell r="V38">
            <v>261.99999999999989</v>
          </cell>
          <cell r="W38">
            <v>415</v>
          </cell>
          <cell r="Y38">
            <v>3676.1640796077368</v>
          </cell>
          <cell r="Z38">
            <v>2798.2741501491728</v>
          </cell>
          <cell r="AA38">
            <v>5706.2845414806716</v>
          </cell>
          <cell r="AB38">
            <v>5230.7608296906155</v>
          </cell>
          <cell r="AC38">
            <v>1792.3586059779047</v>
          </cell>
          <cell r="AD38">
            <v>22715.401924740378</v>
          </cell>
          <cell r="AE38">
            <v>41919.244131646483</v>
          </cell>
          <cell r="AG38">
            <v>33509.921650658725</v>
          </cell>
          <cell r="AH38">
            <v>8409.3224809877574</v>
          </cell>
          <cell r="AI38">
            <v>0.20060768401687926</v>
          </cell>
        </row>
        <row r="39">
          <cell r="E39">
            <v>2322</v>
          </cell>
          <cell r="F39" t="str">
            <v>Bankwood Community Primary School</v>
          </cell>
          <cell r="G39">
            <v>0.75</v>
          </cell>
          <cell r="H39">
            <v>9.375E-2</v>
          </cell>
          <cell r="I39">
            <v>0.109375</v>
          </cell>
          <cell r="J39">
            <v>2.34375E-2</v>
          </cell>
          <cell r="K39">
            <v>1.0416666666666701E-2</v>
          </cell>
          <cell r="L39">
            <v>2.60416666666667E-3</v>
          </cell>
          <cell r="M39">
            <v>1.0416666666666701E-2</v>
          </cell>
          <cell r="N39">
            <v>1</v>
          </cell>
          <cell r="P39">
            <v>288</v>
          </cell>
          <cell r="Q39">
            <v>36</v>
          </cell>
          <cell r="R39">
            <v>42</v>
          </cell>
          <cell r="S39">
            <v>9</v>
          </cell>
          <cell r="T39">
            <v>4.0000000000000133</v>
          </cell>
          <cell r="U39">
            <v>1.0000000000000013</v>
          </cell>
          <cell r="V39">
            <v>4.0000000000000133</v>
          </cell>
          <cell r="W39">
            <v>384</v>
          </cell>
          <cell r="Y39">
            <v>176455.87582117142</v>
          </cell>
          <cell r="Z39">
            <v>16789.64490089504</v>
          </cell>
          <cell r="AA39">
            <v>18435.68851862985</v>
          </cell>
          <cell r="AB39">
            <v>3621.2959590165774</v>
          </cell>
          <cell r="AC39">
            <v>1024.2049177016615</v>
          </cell>
          <cell r="AD39">
            <v>210.32779559944797</v>
          </cell>
          <cell r="AE39">
            <v>216537.03791301398</v>
          </cell>
          <cell r="AG39">
            <v>164000.35346003965</v>
          </cell>
          <cell r="AH39">
            <v>52536.684452974325</v>
          </cell>
          <cell r="AI39">
            <v>0.24262216274556717</v>
          </cell>
        </row>
        <row r="40">
          <cell r="E40">
            <v>2274</v>
          </cell>
          <cell r="F40" t="str">
            <v>Beck Primary School</v>
          </cell>
          <cell r="G40">
            <v>0.218241042345277</v>
          </cell>
          <cell r="H40">
            <v>0.65798045602605904</v>
          </cell>
          <cell r="I40">
            <v>9.93485342019544E-2</v>
          </cell>
          <cell r="J40">
            <v>3.2573289902280101E-3</v>
          </cell>
          <cell r="K40">
            <v>3.2573289902280101E-3</v>
          </cell>
          <cell r="L40">
            <v>8.1433224755700293E-3</v>
          </cell>
          <cell r="M40">
            <v>9.77198697068404E-3</v>
          </cell>
          <cell r="N40">
            <v>1.0000000000000004</v>
          </cell>
          <cell r="P40">
            <v>134.21824104234534</v>
          </cell>
          <cell r="Q40">
            <v>404.65798045602628</v>
          </cell>
          <cell r="R40">
            <v>61.099348534201958</v>
          </cell>
          <cell r="S40">
            <v>2.0032573289902262</v>
          </cell>
          <cell r="T40">
            <v>2.0032573289902262</v>
          </cell>
          <cell r="U40">
            <v>5.0081433224755676</v>
          </cell>
          <cell r="V40">
            <v>6.0097719869706845</v>
          </cell>
          <cell r="W40">
            <v>615</v>
          </cell>
          <cell r="Y40">
            <v>82234.712758000489</v>
          </cell>
          <cell r="Z40">
            <v>188723.9943936113</v>
          </cell>
          <cell r="AA40">
            <v>26819.251387327393</v>
          </cell>
          <cell r="AB40">
            <v>806.04307448251654</v>
          </cell>
          <cell r="AC40">
            <v>512.93650194341956</v>
          </cell>
          <cell r="AD40">
            <v>1053.3517450623799</v>
          </cell>
          <cell r="AE40">
            <v>300150.28986042755</v>
          </cell>
          <cell r="AG40">
            <v>237820.15756406839</v>
          </cell>
          <cell r="AH40">
            <v>62330.132296359167</v>
          </cell>
          <cell r="AI40">
            <v>0.20766307547243487</v>
          </cell>
        </row>
        <row r="41">
          <cell r="E41">
            <v>2241</v>
          </cell>
          <cell r="F41" t="str">
            <v>Beighton Nursery Infant School</v>
          </cell>
          <cell r="G41">
            <v>0</v>
          </cell>
          <cell r="H41">
            <v>1.6528925619834701E-2</v>
          </cell>
          <cell r="I41">
            <v>8.2644628099173608E-3</v>
          </cell>
          <cell r="J41">
            <v>8.2644628099173608E-3</v>
          </cell>
          <cell r="K41">
            <v>1.2396694214876E-2</v>
          </cell>
          <cell r="L41">
            <v>0.34297520661156999</v>
          </cell>
          <cell r="M41">
            <v>0.61157024793388404</v>
          </cell>
          <cell r="N41">
            <v>0.99999999999999944</v>
          </cell>
          <cell r="P41">
            <v>0</v>
          </cell>
          <cell r="Q41">
            <v>3.9999999999999978</v>
          </cell>
          <cell r="R41">
            <v>2.0000000000000013</v>
          </cell>
          <cell r="S41">
            <v>2.0000000000000013</v>
          </cell>
          <cell r="T41">
            <v>2.999999999999992</v>
          </cell>
          <cell r="U41">
            <v>82.999999999999943</v>
          </cell>
          <cell r="V41">
            <v>147.99999999999994</v>
          </cell>
          <cell r="W41">
            <v>242</v>
          </cell>
          <cell r="Y41">
            <v>0</v>
          </cell>
          <cell r="Z41">
            <v>1865.5161000994478</v>
          </cell>
          <cell r="AA41">
            <v>877.88992945856478</v>
          </cell>
          <cell r="AB41">
            <v>804.73243533701782</v>
          </cell>
          <cell r="AC41">
            <v>768.1536882762415</v>
          </cell>
          <cell r="AD41">
            <v>17457.207034754145</v>
          </cell>
          <cell r="AE41">
            <v>21773.499187925416</v>
          </cell>
          <cell r="AG41">
            <v>18169.242115821758</v>
          </cell>
          <cell r="AH41">
            <v>3604.2570721036573</v>
          </cell>
          <cell r="AI41">
            <v>0.16553412205340026</v>
          </cell>
        </row>
        <row r="42">
          <cell r="E42">
            <v>2353</v>
          </cell>
          <cell r="F42" t="str">
            <v>Birley Primary Academy</v>
          </cell>
          <cell r="G42">
            <v>1.5151515151515201E-2</v>
          </cell>
          <cell r="H42">
            <v>5.6818181818181802E-2</v>
          </cell>
          <cell r="I42">
            <v>5.3030303030302997E-2</v>
          </cell>
          <cell r="J42">
            <v>0.102272727272727</v>
          </cell>
          <cell r="K42">
            <v>4.7348484848484799E-2</v>
          </cell>
          <cell r="L42">
            <v>3.97727272727273E-2</v>
          </cell>
          <cell r="M42">
            <v>0.685606060606061</v>
          </cell>
          <cell r="N42">
            <v>1</v>
          </cell>
          <cell r="P42">
            <v>8.0000000000000266</v>
          </cell>
          <cell r="Q42">
            <v>29.999999999999993</v>
          </cell>
          <cell r="R42">
            <v>27.999999999999982</v>
          </cell>
          <cell r="S42">
            <v>53.999999999999858</v>
          </cell>
          <cell r="T42">
            <v>24.999999999999975</v>
          </cell>
          <cell r="U42">
            <v>21.000000000000014</v>
          </cell>
          <cell r="V42">
            <v>362.00000000000023</v>
          </cell>
          <cell r="W42">
            <v>528</v>
          </cell>
          <cell r="Y42">
            <v>4901.5521061436666</v>
          </cell>
          <cell r="Z42">
            <v>13991.370750745864</v>
          </cell>
          <cell r="AA42">
            <v>12290.459012419891</v>
          </cell>
          <cell r="AB42">
            <v>21727.77575409941</v>
          </cell>
          <cell r="AC42">
            <v>6401.2807356353569</v>
          </cell>
          <cell r="AD42">
            <v>4416.8837075884039</v>
          </cell>
          <cell r="AE42">
            <v>63729.322066632594</v>
          </cell>
          <cell r="AG42">
            <v>53395.645561797777</v>
          </cell>
          <cell r="AH42">
            <v>10333.676504834817</v>
          </cell>
          <cell r="AI42">
            <v>0.16214948111373875</v>
          </cell>
        </row>
        <row r="43">
          <cell r="E43">
            <v>2323</v>
          </cell>
          <cell r="F43" t="str">
            <v>Birley Spa Primary Academy</v>
          </cell>
          <cell r="G43">
            <v>2.3809523809523801E-2</v>
          </cell>
          <cell r="H43">
            <v>1.4880952380952399E-2</v>
          </cell>
          <cell r="I43">
            <v>0.25892857142857101</v>
          </cell>
          <cell r="J43">
            <v>0.33333333333333298</v>
          </cell>
          <cell r="K43">
            <v>2.9761904761904799E-3</v>
          </cell>
          <cell r="L43">
            <v>0.13392857142857101</v>
          </cell>
          <cell r="M43">
            <v>0.23214285714285701</v>
          </cell>
          <cell r="N43">
            <v>0.99999999999999867</v>
          </cell>
          <cell r="P43">
            <v>8.0238095238095202</v>
          </cell>
          <cell r="Q43">
            <v>5.0148809523809588</v>
          </cell>
          <cell r="R43">
            <v>87.258928571428427</v>
          </cell>
          <cell r="S43">
            <v>112.33333333333321</v>
          </cell>
          <cell r="T43">
            <v>1.0029761904761918</v>
          </cell>
          <cell r="U43">
            <v>45.133928571428427</v>
          </cell>
          <cell r="V43">
            <v>78.232142857142819</v>
          </cell>
          <cell r="W43">
            <v>337</v>
          </cell>
          <cell r="Y43">
            <v>4916.140058840504</v>
          </cell>
          <cell r="Z43">
            <v>2338.8352891871841</v>
          </cell>
          <cell r="AA43">
            <v>38301.867324100596</v>
          </cell>
          <cell r="AB43">
            <v>45199.138451429091</v>
          </cell>
          <cell r="AC43">
            <v>256.81328665584766</v>
          </cell>
          <cell r="AD43">
            <v>9492.9197031714702</v>
          </cell>
          <cell r="AE43">
            <v>100505.71411338469</v>
          </cell>
          <cell r="AG43">
            <v>83054.11059976714</v>
          </cell>
          <cell r="AH43">
            <v>17451.603513617549</v>
          </cell>
          <cell r="AI43">
            <v>0.17363792365008887</v>
          </cell>
        </row>
        <row r="44">
          <cell r="E44">
            <v>2328</v>
          </cell>
          <cell r="F44" t="str">
            <v>Bradfield Dungworth Primary School</v>
          </cell>
          <cell r="G44">
            <v>0</v>
          </cell>
          <cell r="H44">
            <v>2.9197080291970798E-2</v>
          </cell>
          <cell r="I44">
            <v>0</v>
          </cell>
          <cell r="J44">
            <v>0</v>
          </cell>
          <cell r="K44">
            <v>2.18978102189781E-2</v>
          </cell>
          <cell r="L44">
            <v>0</v>
          </cell>
          <cell r="M44">
            <v>0.94890510948905105</v>
          </cell>
          <cell r="N44">
            <v>1</v>
          </cell>
          <cell r="P44">
            <v>0</v>
          </cell>
          <cell r="Q44">
            <v>3.9999999999999996</v>
          </cell>
          <cell r="R44">
            <v>0</v>
          </cell>
          <cell r="S44">
            <v>0</v>
          </cell>
          <cell r="T44">
            <v>2.9999999999999996</v>
          </cell>
          <cell r="U44">
            <v>0</v>
          </cell>
          <cell r="V44">
            <v>130</v>
          </cell>
          <cell r="W44">
            <v>137</v>
          </cell>
          <cell r="Y44">
            <v>0</v>
          </cell>
          <cell r="Z44">
            <v>1865.5161000994487</v>
          </cell>
          <cell r="AA44">
            <v>0</v>
          </cell>
          <cell r="AB44">
            <v>0</v>
          </cell>
          <cell r="AC44">
            <v>768.15368827624343</v>
          </cell>
          <cell r="AD44">
            <v>0</v>
          </cell>
          <cell r="AE44">
            <v>2633.6697883756924</v>
          </cell>
          <cell r="AG44">
            <v>2121.6031288812492</v>
          </cell>
          <cell r="AH44">
            <v>512.06665949444323</v>
          </cell>
          <cell r="AI44">
            <v>0.1944308514888872</v>
          </cell>
        </row>
        <row r="45">
          <cell r="E45">
            <v>2233</v>
          </cell>
          <cell r="F45" t="str">
            <v>Bradway Primary School</v>
          </cell>
          <cell r="G45">
            <v>0</v>
          </cell>
          <cell r="H45">
            <v>0.14975845410628</v>
          </cell>
          <cell r="I45">
            <v>6.7632850241545903E-2</v>
          </cell>
          <cell r="J45">
            <v>1.9323671497584499E-2</v>
          </cell>
          <cell r="K45">
            <v>1.4492753623188401E-2</v>
          </cell>
          <cell r="L45">
            <v>7.2463768115942004E-3</v>
          </cell>
          <cell r="M45">
            <v>0.74154589371980695</v>
          </cell>
          <cell r="N45">
            <v>0.99999999999999989</v>
          </cell>
          <cell r="P45">
            <v>0</v>
          </cell>
          <cell r="Q45">
            <v>61.999999999999922</v>
          </cell>
          <cell r="R45">
            <v>28.000000000000004</v>
          </cell>
          <cell r="S45">
            <v>7.9999999999999822</v>
          </cell>
          <cell r="T45">
            <v>5.9999999999999982</v>
          </cell>
          <cell r="U45">
            <v>2.9999999999999991</v>
          </cell>
          <cell r="V45">
            <v>307.00000000000006</v>
          </cell>
          <cell r="W45">
            <v>414</v>
          </cell>
          <cell r="Y45">
            <v>0</v>
          </cell>
          <cell r="Z45">
            <v>28915.499551541423</v>
          </cell>
          <cell r="AA45">
            <v>12290.4590124199</v>
          </cell>
          <cell r="AB45">
            <v>3218.9297413480617</v>
          </cell>
          <cell r="AC45">
            <v>1536.3073765524866</v>
          </cell>
          <cell r="AD45">
            <v>630.98338679834285</v>
          </cell>
          <cell r="AE45">
            <v>46592.179068660211</v>
          </cell>
          <cell r="AG45">
            <v>35788.297377748517</v>
          </cell>
          <cell r="AH45">
            <v>10803.881690911694</v>
          </cell>
          <cell r="AI45">
            <v>0.23188187174054761</v>
          </cell>
        </row>
        <row r="46">
          <cell r="E46">
            <v>2014</v>
          </cell>
          <cell r="F46" t="str">
            <v>Brightside Nursery and Infant School</v>
          </cell>
          <cell r="G46">
            <v>2.3121387283237E-2</v>
          </cell>
          <cell r="H46">
            <v>0.12138728323699401</v>
          </cell>
          <cell r="I46">
            <v>0.37572254335260102</v>
          </cell>
          <cell r="J46">
            <v>1.15606936416185E-2</v>
          </cell>
          <cell r="K46">
            <v>0.17341040462427701</v>
          </cell>
          <cell r="L46">
            <v>7.5144508670520194E-2</v>
          </cell>
          <cell r="M46">
            <v>0.219653179190751</v>
          </cell>
          <cell r="N46">
            <v>0.99999999999999867</v>
          </cell>
          <cell r="P46">
            <v>4.0000000000000009</v>
          </cell>
          <cell r="Q46">
            <v>20.999999999999964</v>
          </cell>
          <cell r="R46">
            <v>64.999999999999972</v>
          </cell>
          <cell r="S46">
            <v>2.0000000000000004</v>
          </cell>
          <cell r="T46">
            <v>29.999999999999922</v>
          </cell>
          <cell r="U46">
            <v>12.999999999999993</v>
          </cell>
          <cell r="V46">
            <v>37.999999999999922</v>
          </cell>
          <cell r="W46">
            <v>173</v>
          </cell>
          <cell r="Y46">
            <v>2450.7760530718256</v>
          </cell>
          <cell r="Z46">
            <v>9793.9595255220902</v>
          </cell>
          <cell r="AA46">
            <v>28531.422707403326</v>
          </cell>
          <cell r="AB46">
            <v>804.73243533701748</v>
          </cell>
          <cell r="AC46">
            <v>7681.5368827624161</v>
          </cell>
          <cell r="AD46">
            <v>2734.2613427928186</v>
          </cell>
          <cell r="AE46">
            <v>51996.688946889495</v>
          </cell>
          <cell r="AG46">
            <v>40654.151561080849</v>
          </cell>
          <cell r="AH46">
            <v>11342.537385808646</v>
          </cell>
          <cell r="AI46">
            <v>0.2181396088007479</v>
          </cell>
        </row>
        <row r="47">
          <cell r="E47">
            <v>2246</v>
          </cell>
          <cell r="F47" t="str">
            <v>Brook House Junior</v>
          </cell>
          <cell r="G47">
            <v>0</v>
          </cell>
          <cell r="H47">
            <v>2.6548672566371698E-2</v>
          </cell>
          <cell r="I47">
            <v>1.1799410029498501E-2</v>
          </cell>
          <cell r="J47">
            <v>0</v>
          </cell>
          <cell r="K47">
            <v>1.47492625368732E-2</v>
          </cell>
          <cell r="L47">
            <v>0.28613569321533899</v>
          </cell>
          <cell r="M47">
            <v>0.66076696165191695</v>
          </cell>
          <cell r="N47">
            <v>0.99999999999999933</v>
          </cell>
          <cell r="P47">
            <v>0</v>
          </cell>
          <cell r="Q47">
            <v>9.0265486725663777</v>
          </cell>
          <cell r="R47">
            <v>4.0117994100294903</v>
          </cell>
          <cell r="S47">
            <v>0</v>
          </cell>
          <cell r="T47">
            <v>5.0147492625368875</v>
          </cell>
          <cell r="U47">
            <v>97.286135693215257</v>
          </cell>
          <cell r="V47">
            <v>224.66076696165177</v>
          </cell>
          <cell r="W47">
            <v>340</v>
          </cell>
          <cell r="Y47">
            <v>0</v>
          </cell>
          <cell r="Z47">
            <v>4209.7929692509715</v>
          </cell>
          <cell r="AA47">
            <v>1760.9591505363494</v>
          </cell>
          <cell r="AB47">
            <v>0</v>
          </cell>
          <cell r="AC47">
            <v>1284.032713932761</v>
          </cell>
          <cell r="AD47">
            <v>20461.978462742711</v>
          </cell>
          <cell r="AE47">
            <v>27716.763296462792</v>
          </cell>
          <cell r="AG47">
            <v>23681.012374276226</v>
          </cell>
          <cell r="AH47">
            <v>4035.7509221865657</v>
          </cell>
          <cell r="AI47">
            <v>0.14560686177601437</v>
          </cell>
        </row>
        <row r="48">
          <cell r="E48">
            <v>5204</v>
          </cell>
          <cell r="F48" t="str">
            <v>Broomhill Infant School</v>
          </cell>
          <cell r="G48">
            <v>0</v>
          </cell>
          <cell r="H48">
            <v>8.40336134453782E-2</v>
          </cell>
          <cell r="I48">
            <v>0</v>
          </cell>
          <cell r="J48">
            <v>1.6806722689075598E-2</v>
          </cell>
          <cell r="K48">
            <v>0.159663865546218</v>
          </cell>
          <cell r="L48">
            <v>0</v>
          </cell>
          <cell r="M48">
            <v>0.73949579831932799</v>
          </cell>
          <cell r="N48">
            <v>0.99999999999999978</v>
          </cell>
          <cell r="P48">
            <v>0</v>
          </cell>
          <cell r="Q48">
            <v>10.000000000000005</v>
          </cell>
          <cell r="R48">
            <v>0</v>
          </cell>
          <cell r="S48">
            <v>1.9999999999999962</v>
          </cell>
          <cell r="T48">
            <v>18.999999999999943</v>
          </cell>
          <cell r="U48">
            <v>0</v>
          </cell>
          <cell r="V48">
            <v>88.000000000000028</v>
          </cell>
          <cell r="W48">
            <v>119</v>
          </cell>
          <cell r="Y48">
            <v>0</v>
          </cell>
          <cell r="Z48">
            <v>4663.7902502486249</v>
          </cell>
          <cell r="AA48">
            <v>0</v>
          </cell>
          <cell r="AB48">
            <v>804.73243533701577</v>
          </cell>
          <cell r="AC48">
            <v>4864.9733590828619</v>
          </cell>
          <cell r="AD48">
            <v>0</v>
          </cell>
          <cell r="AE48">
            <v>10333.496044668504</v>
          </cell>
          <cell r="AG48">
            <v>7632.5769262743524</v>
          </cell>
          <cell r="AH48">
            <v>2700.9191183941512</v>
          </cell>
          <cell r="AI48">
            <v>0.26137515384134413</v>
          </cell>
        </row>
        <row r="49">
          <cell r="E49">
            <v>2325</v>
          </cell>
          <cell r="F49" t="str">
            <v>Brunswick Community Primary School</v>
          </cell>
          <cell r="G49">
            <v>9.5923261390887301E-3</v>
          </cell>
          <cell r="H49">
            <v>3.5971223021582698E-2</v>
          </cell>
          <cell r="I49">
            <v>0.388489208633094</v>
          </cell>
          <cell r="J49">
            <v>1.4388489208633099E-2</v>
          </cell>
          <cell r="K49">
            <v>1.9184652278177498E-2</v>
          </cell>
          <cell r="L49">
            <v>0.201438848920863</v>
          </cell>
          <cell r="M49">
            <v>0.33093525179856098</v>
          </cell>
          <cell r="N49">
            <v>1</v>
          </cell>
          <cell r="P49">
            <v>4.0000000000000009</v>
          </cell>
          <cell r="Q49">
            <v>14.999999999999984</v>
          </cell>
          <cell r="R49">
            <v>162.0000000000002</v>
          </cell>
          <cell r="S49">
            <v>6.0000000000000027</v>
          </cell>
          <cell r="T49">
            <v>8.000000000000016</v>
          </cell>
          <cell r="U49">
            <v>83.999999999999872</v>
          </cell>
          <cell r="V49">
            <v>137.99999999999994</v>
          </cell>
          <cell r="W49">
            <v>417</v>
          </cell>
          <cell r="Y49">
            <v>2450.7760530718256</v>
          </cell>
          <cell r="Z49">
            <v>6995.6853753729265</v>
          </cell>
          <cell r="AA49">
            <v>71109.084286143785</v>
          </cell>
          <cell r="AB49">
            <v>2414.1973060110527</v>
          </cell>
          <cell r="AC49">
            <v>2048.4098354033204</v>
          </cell>
          <cell r="AD49">
            <v>17667.534830353579</v>
          </cell>
          <cell r="AE49">
            <v>102685.68768635648</v>
          </cell>
          <cell r="AG49">
            <v>79005.452167642594</v>
          </cell>
          <cell r="AH49">
            <v>23680.235518713889</v>
          </cell>
          <cell r="AI49">
            <v>0.23060891982379161</v>
          </cell>
        </row>
        <row r="50">
          <cell r="E50">
            <v>2095</v>
          </cell>
          <cell r="F50" t="str">
            <v>Byron Wood Primary Academy</v>
          </cell>
          <cell r="G50">
            <v>7.5949367088607601E-3</v>
          </cell>
          <cell r="H50">
            <v>9.6202531645569606E-2</v>
          </cell>
          <cell r="I50">
            <v>0.67341772151898704</v>
          </cell>
          <cell r="J50">
            <v>9.6202531645569606E-2</v>
          </cell>
          <cell r="K50">
            <v>0.10126582278481</v>
          </cell>
          <cell r="L50">
            <v>1.0126582278481001E-2</v>
          </cell>
          <cell r="M50">
            <v>1.5189873417721499E-2</v>
          </cell>
          <cell r="N50">
            <v>0.99999999999999944</v>
          </cell>
          <cell r="P50">
            <v>3.0000000000000004</v>
          </cell>
          <cell r="Q50">
            <v>37.999999999999993</v>
          </cell>
          <cell r="R50">
            <v>265.99999999999989</v>
          </cell>
          <cell r="S50">
            <v>37.999999999999993</v>
          </cell>
          <cell r="T50">
            <v>39.99999999999995</v>
          </cell>
          <cell r="U50">
            <v>3.9999999999999951</v>
          </cell>
          <cell r="V50">
            <v>5.999999999999992</v>
          </cell>
          <cell r="W50">
            <v>395</v>
          </cell>
          <cell r="Y50">
            <v>1838.0820398038691</v>
          </cell>
          <cell r="Z50">
            <v>17722.402950944761</v>
          </cell>
          <cell r="AA50">
            <v>116759.36061798899</v>
          </cell>
          <cell r="AB50">
            <v>15289.916271403325</v>
          </cell>
          <cell r="AC50">
            <v>10242.049177016568</v>
          </cell>
          <cell r="AD50">
            <v>841.31118239778971</v>
          </cell>
          <cell r="AE50">
            <v>162693.12223955529</v>
          </cell>
          <cell r="AG50">
            <v>131371.73554818385</v>
          </cell>
          <cell r="AH50">
            <v>31321.386691371445</v>
          </cell>
          <cell r="AI50">
            <v>0.19251819782063492</v>
          </cell>
        </row>
        <row r="51">
          <cell r="E51">
            <v>2344</v>
          </cell>
          <cell r="F51" t="str">
            <v>Carfield Primary School</v>
          </cell>
          <cell r="G51">
            <v>5.7894736842105297E-2</v>
          </cell>
          <cell r="H51">
            <v>5.7894736842105297E-2</v>
          </cell>
          <cell r="I51">
            <v>7.7192982456140397E-2</v>
          </cell>
          <cell r="J51">
            <v>9.6491228070175405E-2</v>
          </cell>
          <cell r="K51">
            <v>0.119298245614035</v>
          </cell>
          <cell r="L51">
            <v>0.119298245614035</v>
          </cell>
          <cell r="M51">
            <v>0.47192982456140398</v>
          </cell>
          <cell r="N51">
            <v>1.0000000000000004</v>
          </cell>
          <cell r="P51">
            <v>33.000000000000021</v>
          </cell>
          <cell r="Q51">
            <v>33.000000000000021</v>
          </cell>
          <cell r="R51">
            <v>44.000000000000028</v>
          </cell>
          <cell r="S51">
            <v>54.999999999999979</v>
          </cell>
          <cell r="T51">
            <v>67.999999999999957</v>
          </cell>
          <cell r="U51">
            <v>67.999999999999957</v>
          </cell>
          <cell r="V51">
            <v>269.00000000000028</v>
          </cell>
          <cell r="W51">
            <v>570</v>
          </cell>
          <cell r="Y51">
            <v>20218.902437842571</v>
          </cell>
          <cell r="Z51">
            <v>15390.507825820465</v>
          </cell>
          <cell r="AA51">
            <v>19313.578448088425</v>
          </cell>
          <cell r="AB51">
            <v>22130.141971767967</v>
          </cell>
          <cell r="AC51">
            <v>17411.483600928179</v>
          </cell>
          <cell r="AD51">
            <v>14302.290100762433</v>
          </cell>
          <cell r="AE51">
            <v>108766.90438521003</v>
          </cell>
          <cell r="AG51">
            <v>82475.44144056541</v>
          </cell>
          <cell r="AH51">
            <v>26291.46294464462</v>
          </cell>
          <cell r="AI51">
            <v>0.24172300474352468</v>
          </cell>
        </row>
        <row r="52">
          <cell r="E52">
            <v>2023</v>
          </cell>
          <cell r="F52" t="str">
            <v>Carter Knowle Junior School</v>
          </cell>
          <cell r="G52">
            <v>4.2372881355932203E-3</v>
          </cell>
          <cell r="H52">
            <v>4.2372881355932203E-3</v>
          </cell>
          <cell r="I52">
            <v>0</v>
          </cell>
          <cell r="J52">
            <v>8.4745762711864406E-3</v>
          </cell>
          <cell r="K52">
            <v>3.3898305084745797E-2</v>
          </cell>
          <cell r="L52">
            <v>2.1186440677966101E-2</v>
          </cell>
          <cell r="M52">
            <v>0.927966101694915</v>
          </cell>
          <cell r="N52">
            <v>0.99999999999999978</v>
          </cell>
          <cell r="P52">
            <v>1</v>
          </cell>
          <cell r="Q52">
            <v>1</v>
          </cell>
          <cell r="R52">
            <v>0</v>
          </cell>
          <cell r="S52">
            <v>2</v>
          </cell>
          <cell r="T52">
            <v>8.0000000000000089</v>
          </cell>
          <cell r="U52">
            <v>5</v>
          </cell>
          <cell r="V52">
            <v>218.99999999999994</v>
          </cell>
          <cell r="W52">
            <v>236</v>
          </cell>
          <cell r="Y52">
            <v>612.69401326795628</v>
          </cell>
          <cell r="Z52">
            <v>466.37902502486224</v>
          </cell>
          <cell r="AA52">
            <v>0</v>
          </cell>
          <cell r="AB52">
            <v>804.73243533701725</v>
          </cell>
          <cell r="AC52">
            <v>2048.4098354033185</v>
          </cell>
          <cell r="AD52">
            <v>1051.6389779972385</v>
          </cell>
          <cell r="AE52">
            <v>4983.8542870303927</v>
          </cell>
          <cell r="AG52">
            <v>2338.308487255264</v>
          </cell>
          <cell r="AH52">
            <v>2645.5457997751287</v>
          </cell>
          <cell r="AI52">
            <v>0.53082326396654456</v>
          </cell>
        </row>
        <row r="53">
          <cell r="E53">
            <v>2354</v>
          </cell>
          <cell r="F53" t="str">
            <v>Charnock Hall Primary Academy</v>
          </cell>
          <cell r="G53">
            <v>8.3950617283950604E-2</v>
          </cell>
          <cell r="H53">
            <v>9.3827160493827194E-2</v>
          </cell>
          <cell r="I53">
            <v>4.9382716049382699E-2</v>
          </cell>
          <cell r="J53">
            <v>2.2222222222222199E-2</v>
          </cell>
          <cell r="K53">
            <v>0.11358024691358</v>
          </cell>
          <cell r="L53">
            <v>1.72839506172839E-2</v>
          </cell>
          <cell r="M53">
            <v>0.61975308641975302</v>
          </cell>
          <cell r="N53">
            <v>0.99999999999999956</v>
          </cell>
          <cell r="P53">
            <v>34.167901234567893</v>
          </cell>
          <cell r="Q53">
            <v>38.187654320987669</v>
          </cell>
          <cell r="R53">
            <v>20.098765432098759</v>
          </cell>
          <cell r="S53">
            <v>9.0444444444444354</v>
          </cell>
          <cell r="T53">
            <v>46.227160493827057</v>
          </cell>
          <cell r="U53">
            <v>7.0345679012345474</v>
          </cell>
          <cell r="V53">
            <v>252.23950617283947</v>
          </cell>
          <cell r="W53">
            <v>407</v>
          </cell>
          <cell r="Y53">
            <v>20934.468532350562</v>
          </cell>
          <cell r="Z53">
            <v>17809.920990208695</v>
          </cell>
          <cell r="AA53">
            <v>8822.2518836947038</v>
          </cell>
          <cell r="AB53">
            <v>3639.1789020240631</v>
          </cell>
          <cell r="AC53">
            <v>11836.521277290371</v>
          </cell>
          <cell r="AD53">
            <v>1479.5651596612956</v>
          </cell>
          <cell r="AE53">
            <v>64521.906745229688</v>
          </cell>
          <cell r="AG53">
            <v>45215.271164812359</v>
          </cell>
          <cell r="AH53">
            <v>19306.635580417329</v>
          </cell>
          <cell r="AI53">
            <v>0.29922605444149758</v>
          </cell>
        </row>
        <row r="54">
          <cell r="E54">
            <v>5200</v>
          </cell>
          <cell r="F54" t="str">
            <v>Clifford All Saints CofE Primary School</v>
          </cell>
          <cell r="G54">
            <v>5.4347826086956503E-3</v>
          </cell>
          <cell r="H54">
            <v>7.0652173913043501E-2</v>
          </cell>
          <cell r="I54">
            <v>4.3478260869565202E-2</v>
          </cell>
          <cell r="J54">
            <v>3.8043478260869602E-2</v>
          </cell>
          <cell r="K54">
            <v>3.8043478260869602E-2</v>
          </cell>
          <cell r="L54">
            <v>3.2608695652173898E-2</v>
          </cell>
          <cell r="M54">
            <v>0.77173913043478304</v>
          </cell>
          <cell r="N54">
            <v>1.0000000000000004</v>
          </cell>
          <cell r="P54">
            <v>0.99999999999999967</v>
          </cell>
          <cell r="Q54">
            <v>13.000000000000004</v>
          </cell>
          <cell r="R54">
            <v>7.9999999999999973</v>
          </cell>
          <cell r="S54">
            <v>7.0000000000000071</v>
          </cell>
          <cell r="T54">
            <v>7.0000000000000071</v>
          </cell>
          <cell r="U54">
            <v>5.9999999999999973</v>
          </cell>
          <cell r="V54">
            <v>142.00000000000009</v>
          </cell>
          <cell r="W54">
            <v>184</v>
          </cell>
          <cell r="Y54">
            <v>612.69401326795605</v>
          </cell>
          <cell r="Z54">
            <v>6062.9273253232104</v>
          </cell>
          <cell r="AA54">
            <v>3511.5597178342555</v>
          </cell>
          <cell r="AB54">
            <v>2816.5635236795633</v>
          </cell>
          <cell r="AC54">
            <v>1792.3586059779036</v>
          </cell>
          <cell r="AD54">
            <v>1261.9667735966855</v>
          </cell>
          <cell r="AE54">
            <v>16058.069959679577</v>
          </cell>
          <cell r="AG54">
            <v>12160.724841515079</v>
          </cell>
          <cell r="AH54">
            <v>3897.3451181644978</v>
          </cell>
          <cell r="AI54">
            <v>0.24270320953579066</v>
          </cell>
        </row>
        <row r="55">
          <cell r="E55">
            <v>2312</v>
          </cell>
          <cell r="F55" t="str">
            <v>Coit Primary School</v>
          </cell>
          <cell r="G55">
            <v>1.9512195121951199E-2</v>
          </cell>
          <cell r="H55">
            <v>6.3414634146341506E-2</v>
          </cell>
          <cell r="I55">
            <v>1.46341463414634E-2</v>
          </cell>
          <cell r="J55">
            <v>0</v>
          </cell>
          <cell r="K55">
            <v>5.8536585365853697E-2</v>
          </cell>
          <cell r="L55">
            <v>2.4390243902439001E-2</v>
          </cell>
          <cell r="M55">
            <v>0.81951219512195095</v>
          </cell>
          <cell r="N55">
            <v>0.99999999999999978</v>
          </cell>
          <cell r="P55">
            <v>3.9999999999999956</v>
          </cell>
          <cell r="Q55">
            <v>13.000000000000009</v>
          </cell>
          <cell r="R55">
            <v>2.9999999999999969</v>
          </cell>
          <cell r="S55">
            <v>0</v>
          </cell>
          <cell r="T55">
            <v>12.000000000000007</v>
          </cell>
          <cell r="U55">
            <v>4.9999999999999956</v>
          </cell>
          <cell r="V55">
            <v>167.99999999999994</v>
          </cell>
          <cell r="W55">
            <v>205</v>
          </cell>
          <cell r="Y55">
            <v>2450.7760530718224</v>
          </cell>
          <cell r="Z55">
            <v>6062.9273253232132</v>
          </cell>
          <cell r="AA55">
            <v>1316.8348941878448</v>
          </cell>
          <cell r="AB55">
            <v>0</v>
          </cell>
          <cell r="AC55">
            <v>3072.6147531049764</v>
          </cell>
          <cell r="AD55">
            <v>1051.6389779972376</v>
          </cell>
          <cell r="AE55">
            <v>13954.792003685096</v>
          </cell>
          <cell r="AG55">
            <v>11616.813215049389</v>
          </cell>
          <cell r="AH55">
            <v>2337.9787886357062</v>
          </cell>
          <cell r="AI55">
            <v>0.16753949381820291</v>
          </cell>
        </row>
        <row r="56">
          <cell r="E56">
            <v>2026</v>
          </cell>
          <cell r="F56" t="str">
            <v>Concord Junior School</v>
          </cell>
          <cell r="G56">
            <v>9.0909090909090898E-2</v>
          </cell>
          <cell r="H56">
            <v>0.33333333333333298</v>
          </cell>
          <cell r="I56">
            <v>9.0909090909090898E-2</v>
          </cell>
          <cell r="J56">
            <v>0</v>
          </cell>
          <cell r="K56">
            <v>5.0505050505050497E-2</v>
          </cell>
          <cell r="L56">
            <v>0.24242424242424199</v>
          </cell>
          <cell r="M56">
            <v>0.19191919191919199</v>
          </cell>
          <cell r="N56">
            <v>0.99999999999999933</v>
          </cell>
          <cell r="P56">
            <v>17.999999999999996</v>
          </cell>
          <cell r="Q56">
            <v>65.999999999999929</v>
          </cell>
          <cell r="R56">
            <v>17.999999999999996</v>
          </cell>
          <cell r="S56">
            <v>0</v>
          </cell>
          <cell r="T56">
            <v>9.9999999999999982</v>
          </cell>
          <cell r="U56">
            <v>47.999999999999915</v>
          </cell>
          <cell r="V56">
            <v>38.000000000000014</v>
          </cell>
          <cell r="W56">
            <v>198</v>
          </cell>
          <cell r="Y56">
            <v>11028.492238823212</v>
          </cell>
          <cell r="Z56">
            <v>30781.015651640875</v>
          </cell>
          <cell r="AA56">
            <v>7901.0093651270763</v>
          </cell>
          <cell r="AB56">
            <v>0</v>
          </cell>
          <cell r="AC56">
            <v>2560.5122942541448</v>
          </cell>
          <cell r="AD56">
            <v>10095.734188773471</v>
          </cell>
          <cell r="AE56">
            <v>62366.763738618771</v>
          </cell>
          <cell r="AG56">
            <v>46237.151040762212</v>
          </cell>
          <cell r="AH56">
            <v>16129.612697856559</v>
          </cell>
          <cell r="AI56">
            <v>0.25862513510331103</v>
          </cell>
        </row>
        <row r="57">
          <cell r="E57">
            <v>3422</v>
          </cell>
          <cell r="F57" t="str">
            <v>Deepcar St John's Church of England Junior School</v>
          </cell>
          <cell r="G57">
            <v>0</v>
          </cell>
          <cell r="H57">
            <v>0</v>
          </cell>
          <cell r="I57">
            <v>0</v>
          </cell>
          <cell r="J57">
            <v>7.4285714285714302E-2</v>
          </cell>
          <cell r="K57">
            <v>0</v>
          </cell>
          <cell r="L57">
            <v>0.27428571428571402</v>
          </cell>
          <cell r="M57">
            <v>0.65142857142857102</v>
          </cell>
          <cell r="N57">
            <v>0.99999999999999933</v>
          </cell>
          <cell r="P57">
            <v>0</v>
          </cell>
          <cell r="Q57">
            <v>0</v>
          </cell>
          <cell r="R57">
            <v>0</v>
          </cell>
          <cell r="S57">
            <v>13.000000000000004</v>
          </cell>
          <cell r="T57">
            <v>0</v>
          </cell>
          <cell r="U57">
            <v>47.999999999999957</v>
          </cell>
          <cell r="V57">
            <v>113.99999999999993</v>
          </cell>
          <cell r="W57">
            <v>175</v>
          </cell>
          <cell r="Y57">
            <v>0</v>
          </cell>
          <cell r="Z57">
            <v>0</v>
          </cell>
          <cell r="AA57">
            <v>0</v>
          </cell>
          <cell r="AB57">
            <v>5230.7608296906137</v>
          </cell>
          <cell r="AC57">
            <v>0</v>
          </cell>
          <cell r="AD57">
            <v>10095.73418877348</v>
          </cell>
          <cell r="AE57">
            <v>15326.495018464095</v>
          </cell>
          <cell r="AG57">
            <v>11187.988342546758</v>
          </cell>
          <cell r="AH57">
            <v>4138.5066759173369</v>
          </cell>
          <cell r="AI57">
            <v>0.27002303337662042</v>
          </cell>
        </row>
        <row r="58">
          <cell r="E58">
            <v>2283</v>
          </cell>
          <cell r="F58" t="str">
            <v>Dobcroft Infant School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3.7174721189591098E-3</v>
          </cell>
          <cell r="L58">
            <v>3.7174721189591098E-3</v>
          </cell>
          <cell r="M58">
            <v>0.99256505576208198</v>
          </cell>
          <cell r="N58">
            <v>1.0000000000000002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1.0000000000000004</v>
          </cell>
          <cell r="U58">
            <v>1.0000000000000004</v>
          </cell>
          <cell r="V58">
            <v>267.00000000000006</v>
          </cell>
          <cell r="W58">
            <v>269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256.05122942541465</v>
          </cell>
          <cell r="AD58">
            <v>210.32779559944777</v>
          </cell>
          <cell r="AE58">
            <v>466.37902502486241</v>
          </cell>
          <cell r="AG58">
            <v>375.96380082783338</v>
          </cell>
          <cell r="AH58">
            <v>90.415224197029033</v>
          </cell>
          <cell r="AI58">
            <v>0.19386640338769318</v>
          </cell>
        </row>
        <row r="59">
          <cell r="E59">
            <v>2239</v>
          </cell>
          <cell r="F59" t="str">
            <v>Dobcroft Junior School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7.8534031413612596E-3</v>
          </cell>
          <cell r="M59">
            <v>0.99214659685863904</v>
          </cell>
          <cell r="N59">
            <v>1.0000000000000002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3.0000000000000013</v>
          </cell>
          <cell r="V59">
            <v>379.00000000000011</v>
          </cell>
          <cell r="W59">
            <v>382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630.9833867983433</v>
          </cell>
          <cell r="AE59">
            <v>630.9833867983433</v>
          </cell>
          <cell r="AG59">
            <v>2366.2837146846814</v>
          </cell>
          <cell r="AH59">
            <v>-1735.300327886338</v>
          </cell>
          <cell r="AI59">
            <v>-2.750152165956985</v>
          </cell>
        </row>
        <row r="60">
          <cell r="E60">
            <v>2364</v>
          </cell>
          <cell r="F60" t="str">
            <v>Dore Primary School</v>
          </cell>
          <cell r="G60">
            <v>0</v>
          </cell>
          <cell r="H60">
            <v>0</v>
          </cell>
          <cell r="I60">
            <v>0</v>
          </cell>
          <cell r="J60">
            <v>8.9285714285714298E-3</v>
          </cell>
          <cell r="K60">
            <v>2.2321428571428601E-3</v>
          </cell>
          <cell r="L60">
            <v>0</v>
          </cell>
          <cell r="M60">
            <v>0.98883928571428603</v>
          </cell>
          <cell r="N60">
            <v>1.0000000000000002</v>
          </cell>
          <cell r="P60">
            <v>0</v>
          </cell>
          <cell r="Q60">
            <v>0</v>
          </cell>
          <cell r="R60">
            <v>0</v>
          </cell>
          <cell r="S60">
            <v>4.0000000000000009</v>
          </cell>
          <cell r="T60">
            <v>1.0000000000000013</v>
          </cell>
          <cell r="U60">
            <v>0</v>
          </cell>
          <cell r="V60">
            <v>443.00000000000011</v>
          </cell>
          <cell r="W60">
            <v>448</v>
          </cell>
          <cell r="Y60">
            <v>0</v>
          </cell>
          <cell r="Z60">
            <v>0</v>
          </cell>
          <cell r="AA60">
            <v>0</v>
          </cell>
          <cell r="AB60">
            <v>1609.464870674035</v>
          </cell>
          <cell r="AC60">
            <v>256.05122942541487</v>
          </cell>
          <cell r="AD60">
            <v>0</v>
          </cell>
          <cell r="AE60">
            <v>1865.5161000994499</v>
          </cell>
          <cell r="AG60">
            <v>530.22578222031223</v>
          </cell>
          <cell r="AH60">
            <v>1335.2903178791375</v>
          </cell>
          <cell r="AI60">
            <v>0.71577528481686847</v>
          </cell>
        </row>
        <row r="61">
          <cell r="E61">
            <v>2016</v>
          </cell>
          <cell r="F61" t="str">
            <v>E-ACT Pathways Academy</v>
          </cell>
          <cell r="G61">
            <v>0.167123287671233</v>
          </cell>
          <cell r="H61">
            <v>0.47397260273972602</v>
          </cell>
          <cell r="I61">
            <v>0.26027397260273999</v>
          </cell>
          <cell r="J61">
            <v>5.4794520547945197E-3</v>
          </cell>
          <cell r="K61">
            <v>4.3835616438356199E-2</v>
          </cell>
          <cell r="L61">
            <v>3.5616438356164397E-2</v>
          </cell>
          <cell r="M61">
            <v>1.3698630136986301E-2</v>
          </cell>
          <cell r="N61">
            <v>1.0000000000000004</v>
          </cell>
          <cell r="P61">
            <v>61.000000000000043</v>
          </cell>
          <cell r="Q61">
            <v>173</v>
          </cell>
          <cell r="R61">
            <v>95.000000000000099</v>
          </cell>
          <cell r="S61">
            <v>1.9999999999999998</v>
          </cell>
          <cell r="T61">
            <v>16.000000000000014</v>
          </cell>
          <cell r="U61">
            <v>13.000000000000005</v>
          </cell>
          <cell r="V61">
            <v>5</v>
          </cell>
          <cell r="W61">
            <v>365</v>
          </cell>
          <cell r="Y61">
            <v>37374.334809345361</v>
          </cell>
          <cell r="Z61">
            <v>80683.571329301165</v>
          </cell>
          <cell r="AA61">
            <v>41699.771649281844</v>
          </cell>
          <cell r="AB61">
            <v>804.73243533701714</v>
          </cell>
          <cell r="AC61">
            <v>4096.8196708066362</v>
          </cell>
          <cell r="AD61">
            <v>2734.2613427928209</v>
          </cell>
          <cell r="AE61">
            <v>167393.49123686485</v>
          </cell>
          <cell r="AG61">
            <v>130439.86365982887</v>
          </cell>
          <cell r="AH61">
            <v>36953.627577035979</v>
          </cell>
          <cell r="AI61">
            <v>0.22075904686608108</v>
          </cell>
        </row>
        <row r="62">
          <cell r="E62">
            <v>2206</v>
          </cell>
          <cell r="F62" t="str">
            <v>Ecclesall Primary School</v>
          </cell>
          <cell r="G62">
            <v>0</v>
          </cell>
          <cell r="H62">
            <v>6.4516129032258099E-3</v>
          </cell>
          <cell r="I62">
            <v>0</v>
          </cell>
          <cell r="J62">
            <v>4.8387096774193603E-3</v>
          </cell>
          <cell r="K62">
            <v>8.0645161290322596E-3</v>
          </cell>
          <cell r="L62">
            <v>0</v>
          </cell>
          <cell r="M62">
            <v>0.98064516129032298</v>
          </cell>
          <cell r="N62">
            <v>1.0000000000000004</v>
          </cell>
          <cell r="P62">
            <v>0</v>
          </cell>
          <cell r="Q62">
            <v>4.0000000000000018</v>
          </cell>
          <cell r="R62">
            <v>0</v>
          </cell>
          <cell r="S62">
            <v>3.0000000000000036</v>
          </cell>
          <cell r="T62">
            <v>5.0000000000000009</v>
          </cell>
          <cell r="U62">
            <v>0</v>
          </cell>
          <cell r="V62">
            <v>608.00000000000023</v>
          </cell>
          <cell r="W62">
            <v>620</v>
          </cell>
          <cell r="Y62">
            <v>0</v>
          </cell>
          <cell r="Z62">
            <v>1865.5161000994499</v>
          </cell>
          <cell r="AA62">
            <v>0</v>
          </cell>
          <cell r="AB62">
            <v>1207.0986530055272</v>
          </cell>
          <cell r="AC62">
            <v>1280.2561471270728</v>
          </cell>
          <cell r="AD62">
            <v>0</v>
          </cell>
          <cell r="AE62">
            <v>4352.8709002320502</v>
          </cell>
          <cell r="AG62">
            <v>2636.0430668561844</v>
          </cell>
          <cell r="AH62">
            <v>1716.8278333758658</v>
          </cell>
          <cell r="AI62">
            <v>0.39441276176703111</v>
          </cell>
        </row>
        <row r="63">
          <cell r="E63">
            <v>2080</v>
          </cell>
          <cell r="F63" t="str">
            <v>Ecclesfield Primary School</v>
          </cell>
          <cell r="G63">
            <v>0.14177215189873399</v>
          </cell>
          <cell r="H63">
            <v>0.18481012658227799</v>
          </cell>
          <cell r="I63">
            <v>7.8481012658227906E-2</v>
          </cell>
          <cell r="J63">
            <v>2.5316455696202502E-3</v>
          </cell>
          <cell r="K63">
            <v>3.7974683544303799E-2</v>
          </cell>
          <cell r="L63">
            <v>4.05063291139241E-2</v>
          </cell>
          <cell r="M63">
            <v>0.51392405063291102</v>
          </cell>
          <cell r="N63">
            <v>0.99999999999999911</v>
          </cell>
          <cell r="P63">
            <v>55.999999999999929</v>
          </cell>
          <cell r="Q63">
            <v>72.999999999999801</v>
          </cell>
          <cell r="R63">
            <v>31.000000000000021</v>
          </cell>
          <cell r="S63">
            <v>0.99999999999999878</v>
          </cell>
          <cell r="T63">
            <v>15</v>
          </cell>
          <cell r="U63">
            <v>16.000000000000018</v>
          </cell>
          <cell r="V63">
            <v>202.99999999999986</v>
          </cell>
          <cell r="W63">
            <v>395</v>
          </cell>
          <cell r="Y63">
            <v>34310.864743005506</v>
          </cell>
          <cell r="Z63">
            <v>34045.66882681485</v>
          </cell>
          <cell r="AA63">
            <v>13607.293906607754</v>
          </cell>
          <cell r="AB63">
            <v>402.36621766850811</v>
          </cell>
          <cell r="AC63">
            <v>3840.7684413812181</v>
          </cell>
          <cell r="AD63">
            <v>3365.2447295911666</v>
          </cell>
          <cell r="AE63">
            <v>89572.206865069005</v>
          </cell>
          <cell r="AG63">
            <v>73236.111940200732</v>
          </cell>
          <cell r="AH63">
            <v>16336.094924868274</v>
          </cell>
          <cell r="AI63">
            <v>0.18237906038730139</v>
          </cell>
        </row>
        <row r="64">
          <cell r="E64">
            <v>2024</v>
          </cell>
          <cell r="F64" t="str">
            <v>Emmanuel Anglican/Methodist Junior School</v>
          </cell>
          <cell r="G64">
            <v>1.15606936416185E-2</v>
          </cell>
          <cell r="H64">
            <v>0.12138728323699401</v>
          </cell>
          <cell r="I64">
            <v>1.7341040462427699E-2</v>
          </cell>
          <cell r="J64">
            <v>0.15028901734104</v>
          </cell>
          <cell r="K64">
            <v>5.2023121387283197E-2</v>
          </cell>
          <cell r="L64">
            <v>0.13294797687861301</v>
          </cell>
          <cell r="M64">
            <v>0.51445086705202303</v>
          </cell>
          <cell r="N64">
            <v>0.99999999999999944</v>
          </cell>
          <cell r="P64">
            <v>2.0000000000000004</v>
          </cell>
          <cell r="Q64">
            <v>20.999999999999964</v>
          </cell>
          <cell r="R64">
            <v>2.999999999999992</v>
          </cell>
          <cell r="S64">
            <v>25.999999999999918</v>
          </cell>
          <cell r="T64">
            <v>8.9999999999999929</v>
          </cell>
          <cell r="U64">
            <v>23.00000000000005</v>
          </cell>
          <cell r="V64">
            <v>88.999999999999986</v>
          </cell>
          <cell r="W64">
            <v>173</v>
          </cell>
          <cell r="Y64">
            <v>1225.3880265359128</v>
          </cell>
          <cell r="Z64">
            <v>9793.9595255220902</v>
          </cell>
          <cell r="AA64">
            <v>1316.8348941878428</v>
          </cell>
          <cell r="AB64">
            <v>10461.521659381191</v>
          </cell>
          <cell r="AC64">
            <v>2304.4610648287289</v>
          </cell>
          <cell r="AD64">
            <v>4837.5392987873074</v>
          </cell>
          <cell r="AE64">
            <v>29939.704469243072</v>
          </cell>
          <cell r="AG64">
            <v>25950.288101365884</v>
          </cell>
          <cell r="AH64">
            <v>3989.4163678771874</v>
          </cell>
          <cell r="AI64">
            <v>0.13324835493869011</v>
          </cell>
        </row>
        <row r="65">
          <cell r="E65">
            <v>2028</v>
          </cell>
          <cell r="F65" t="str">
            <v>Emmaus Catholic and CofE Primary School</v>
          </cell>
          <cell r="G65">
            <v>0.21160409556314</v>
          </cell>
          <cell r="H65">
            <v>0.48122866894198002</v>
          </cell>
          <cell r="I65">
            <v>0.116040955631399</v>
          </cell>
          <cell r="J65">
            <v>6.8259385665529002E-3</v>
          </cell>
          <cell r="K65">
            <v>8.1911262798634796E-2</v>
          </cell>
          <cell r="L65">
            <v>2.38907849829352E-2</v>
          </cell>
          <cell r="M65">
            <v>7.8498293515358405E-2</v>
          </cell>
          <cell r="N65">
            <v>1.0000000000000002</v>
          </cell>
          <cell r="P65">
            <v>62.000000000000021</v>
          </cell>
          <cell r="Q65">
            <v>141.00000000000014</v>
          </cell>
          <cell r="R65">
            <v>33.999999999999908</v>
          </cell>
          <cell r="S65">
            <v>1.9999999999999998</v>
          </cell>
          <cell r="T65">
            <v>23.999999999999996</v>
          </cell>
          <cell r="U65">
            <v>7.0000000000000133</v>
          </cell>
          <cell r="V65">
            <v>23.000000000000014</v>
          </cell>
          <cell r="W65">
            <v>293</v>
          </cell>
          <cell r="Y65">
            <v>37987.028822613305</v>
          </cell>
          <cell r="Z65">
            <v>65759.44252850565</v>
          </cell>
          <cell r="AA65">
            <v>14924.128800795552</v>
          </cell>
          <cell r="AB65">
            <v>804.73243533701714</v>
          </cell>
          <cell r="AC65">
            <v>6145.2295062099474</v>
          </cell>
          <cell r="AD65">
            <v>1472.2945691961365</v>
          </cell>
          <cell r="AE65">
            <v>127092.85666265762</v>
          </cell>
          <cell r="AG65">
            <v>102493.75210566743</v>
          </cell>
          <cell r="AH65">
            <v>24599.104556990191</v>
          </cell>
          <cell r="AI65">
            <v>0.19355222002982872</v>
          </cell>
        </row>
        <row r="66">
          <cell r="E66">
            <v>2010</v>
          </cell>
          <cell r="F66" t="str">
            <v>Fox Hill Primary</v>
          </cell>
          <cell r="G66">
            <v>8.7591240875912399E-2</v>
          </cell>
          <cell r="H66">
            <v>0.68613138686131403</v>
          </cell>
          <cell r="I66">
            <v>2.18978102189781E-2</v>
          </cell>
          <cell r="J66">
            <v>1.09489051094891E-2</v>
          </cell>
          <cell r="K66">
            <v>6.2043795620437998E-2</v>
          </cell>
          <cell r="L66">
            <v>5.1094890510948898E-2</v>
          </cell>
          <cell r="M66">
            <v>8.0291970802919693E-2</v>
          </cell>
          <cell r="N66">
            <v>1.0000000000000002</v>
          </cell>
          <cell r="P66">
            <v>23.999999999999996</v>
          </cell>
          <cell r="Q66">
            <v>188.00000000000006</v>
          </cell>
          <cell r="R66">
            <v>5.9999999999999991</v>
          </cell>
          <cell r="S66">
            <v>3.0000000000000133</v>
          </cell>
          <cell r="T66">
            <v>17.000000000000011</v>
          </cell>
          <cell r="U66">
            <v>13.999999999999998</v>
          </cell>
          <cell r="V66">
            <v>21.999999999999996</v>
          </cell>
          <cell r="W66">
            <v>274</v>
          </cell>
          <cell r="Y66">
            <v>14704.656318430949</v>
          </cell>
          <cell r="Z66">
            <v>87679.256704674131</v>
          </cell>
          <cell r="AA66">
            <v>2633.6697883756924</v>
          </cell>
          <cell r="AB66">
            <v>1207.0986530055313</v>
          </cell>
          <cell r="AC66">
            <v>4352.8709002320502</v>
          </cell>
          <cell r="AD66">
            <v>2944.5891383922672</v>
          </cell>
          <cell r="AE66">
            <v>113522.14150311063</v>
          </cell>
          <cell r="AG66">
            <v>97363.835031224953</v>
          </cell>
          <cell r="AH66">
            <v>16158.306471885677</v>
          </cell>
          <cell r="AI66">
            <v>0.1423361668300005</v>
          </cell>
        </row>
        <row r="67">
          <cell r="E67">
            <v>2036</v>
          </cell>
          <cell r="F67" t="str">
            <v>Gleadless Primary School</v>
          </cell>
          <cell r="G67">
            <v>0.10552763819095499</v>
          </cell>
          <cell r="H67">
            <v>8.7939698492462304E-2</v>
          </cell>
          <cell r="I67">
            <v>4.0201005025125601E-2</v>
          </cell>
          <cell r="J67">
            <v>4.2713567839195998E-2</v>
          </cell>
          <cell r="K67">
            <v>0.14572864321608001</v>
          </cell>
          <cell r="L67">
            <v>9.2964824120603001E-2</v>
          </cell>
          <cell r="M67">
            <v>0.48492462311557799</v>
          </cell>
          <cell r="N67">
            <v>1</v>
          </cell>
          <cell r="P67">
            <v>42.000000000000085</v>
          </cell>
          <cell r="Q67">
            <v>35</v>
          </cell>
          <cell r="R67">
            <v>15.999999999999989</v>
          </cell>
          <cell r="S67">
            <v>17.000000000000007</v>
          </cell>
          <cell r="T67">
            <v>57.999999999999844</v>
          </cell>
          <cell r="U67">
            <v>36.999999999999993</v>
          </cell>
          <cell r="V67">
            <v>193.00000000000003</v>
          </cell>
          <cell r="W67">
            <v>398</v>
          </cell>
          <cell r="Y67">
            <v>25733.148557254215</v>
          </cell>
          <cell r="Z67">
            <v>16323.265875870178</v>
          </cell>
          <cell r="AA67">
            <v>7023.1194356685091</v>
          </cell>
          <cell r="AB67">
            <v>6840.2257003646491</v>
          </cell>
          <cell r="AC67">
            <v>14850.971306674002</v>
          </cell>
          <cell r="AD67">
            <v>7782.1284371795628</v>
          </cell>
          <cell r="AE67">
            <v>78552.859313011126</v>
          </cell>
          <cell r="AG67">
            <v>61027.329565949432</v>
          </cell>
          <cell r="AH67">
            <v>17525.529747061693</v>
          </cell>
          <cell r="AI67">
            <v>0.22310492450984337</v>
          </cell>
        </row>
        <row r="68">
          <cell r="E68">
            <v>2305</v>
          </cell>
          <cell r="F68" t="str">
            <v>Greengate Lane Academy</v>
          </cell>
          <cell r="G68">
            <v>1.05263157894737E-2</v>
          </cell>
          <cell r="H68">
            <v>0.452631578947368</v>
          </cell>
          <cell r="I68">
            <v>1.5789473684210499E-2</v>
          </cell>
          <cell r="J68">
            <v>0</v>
          </cell>
          <cell r="K68">
            <v>0.25789473684210501</v>
          </cell>
          <cell r="L68">
            <v>5.2631578947368403E-3</v>
          </cell>
          <cell r="M68">
            <v>0.25789473684210501</v>
          </cell>
          <cell r="N68">
            <v>0.99999999999999911</v>
          </cell>
          <cell r="P68">
            <v>2.0000000000000031</v>
          </cell>
          <cell r="Q68">
            <v>85.999999999999915</v>
          </cell>
          <cell r="R68">
            <v>2.9999999999999947</v>
          </cell>
          <cell r="S68">
            <v>0</v>
          </cell>
          <cell r="T68">
            <v>48.99999999999995</v>
          </cell>
          <cell r="U68">
            <v>0.99999999999999967</v>
          </cell>
          <cell r="V68">
            <v>48.99999999999995</v>
          </cell>
          <cell r="W68">
            <v>190</v>
          </cell>
          <cell r="Y68">
            <v>1225.3880265359144</v>
          </cell>
          <cell r="Z68">
            <v>40108.59615213811</v>
          </cell>
          <cell r="AA68">
            <v>1316.8348941878439</v>
          </cell>
          <cell r="AB68">
            <v>0</v>
          </cell>
          <cell r="AC68">
            <v>12546.510241845299</v>
          </cell>
          <cell r="AD68">
            <v>210.32779559944763</v>
          </cell>
          <cell r="AE68">
            <v>55407.657110306616</v>
          </cell>
          <cell r="AG68">
            <v>43219.986509786992</v>
          </cell>
          <cell r="AH68">
            <v>12187.670600519625</v>
          </cell>
          <cell r="AI68">
            <v>0.21996365188761147</v>
          </cell>
        </row>
        <row r="69">
          <cell r="E69">
            <v>2341</v>
          </cell>
          <cell r="F69" t="str">
            <v>Greenhill Primary School</v>
          </cell>
          <cell r="G69">
            <v>0</v>
          </cell>
          <cell r="H69">
            <v>0.20512820512820501</v>
          </cell>
          <cell r="I69">
            <v>0.13888888888888901</v>
          </cell>
          <cell r="J69">
            <v>9.4017094017094002E-2</v>
          </cell>
          <cell r="K69">
            <v>8.5470085470085496E-3</v>
          </cell>
          <cell r="L69">
            <v>4.2735042735042696E-3</v>
          </cell>
          <cell r="M69">
            <v>0.54914529914529897</v>
          </cell>
          <cell r="N69">
            <v>0.99999999999999978</v>
          </cell>
          <cell r="P69">
            <v>0</v>
          </cell>
          <cell r="Q69">
            <v>95.999999999999943</v>
          </cell>
          <cell r="R69">
            <v>65.000000000000057</v>
          </cell>
          <cell r="S69">
            <v>43.999999999999993</v>
          </cell>
          <cell r="T69">
            <v>4.0000000000000009</v>
          </cell>
          <cell r="U69">
            <v>1.9999999999999982</v>
          </cell>
          <cell r="V69">
            <v>256.99999999999994</v>
          </cell>
          <cell r="W69">
            <v>468</v>
          </cell>
          <cell r="Y69">
            <v>0</v>
          </cell>
          <cell r="Z69">
            <v>44772.38640238675</v>
          </cell>
          <cell r="AA69">
            <v>28531.422707403362</v>
          </cell>
          <cell r="AB69">
            <v>17704.113577414377</v>
          </cell>
          <cell r="AC69">
            <v>1024.2049177016584</v>
          </cell>
          <cell r="AD69">
            <v>420.65559119889497</v>
          </cell>
          <cell r="AE69">
            <v>92452.78319610504</v>
          </cell>
          <cell r="AG69">
            <v>75662.135492928297</v>
          </cell>
          <cell r="AH69">
            <v>16790.647703176743</v>
          </cell>
          <cell r="AI69">
            <v>0.1816132205296781</v>
          </cell>
        </row>
        <row r="70">
          <cell r="E70">
            <v>2296</v>
          </cell>
          <cell r="F70" t="str">
            <v>Grenoside Community Primary School</v>
          </cell>
          <cell r="G70">
            <v>4.6583850931677002E-2</v>
          </cell>
          <cell r="H70">
            <v>0.26397515527950299</v>
          </cell>
          <cell r="I70">
            <v>9.3167701863354005E-3</v>
          </cell>
          <cell r="J70">
            <v>6.2111801242236003E-3</v>
          </cell>
          <cell r="K70">
            <v>2.7950310559006201E-2</v>
          </cell>
          <cell r="L70">
            <v>3.7267080745341602E-2</v>
          </cell>
          <cell r="M70">
            <v>0.60869565217391297</v>
          </cell>
          <cell r="N70">
            <v>0.99999999999999978</v>
          </cell>
          <cell r="P70">
            <v>14.999999999999995</v>
          </cell>
          <cell r="Q70">
            <v>84.999999999999957</v>
          </cell>
          <cell r="R70">
            <v>2.9999999999999991</v>
          </cell>
          <cell r="S70">
            <v>1.9999999999999993</v>
          </cell>
          <cell r="T70">
            <v>8.9999999999999964</v>
          </cell>
          <cell r="U70">
            <v>11.999999999999996</v>
          </cell>
          <cell r="V70">
            <v>195.99999999999997</v>
          </cell>
          <cell r="W70">
            <v>322</v>
          </cell>
          <cell r="Y70">
            <v>9190.4101990193412</v>
          </cell>
          <cell r="Z70">
            <v>39642.217127113268</v>
          </cell>
          <cell r="AA70">
            <v>1316.834894187846</v>
          </cell>
          <cell r="AB70">
            <v>804.73243533701702</v>
          </cell>
          <cell r="AC70">
            <v>2304.4610648287298</v>
          </cell>
          <cell r="AD70">
            <v>2523.9335471933714</v>
          </cell>
          <cell r="AE70">
            <v>55782.589267679577</v>
          </cell>
          <cell r="AG70">
            <v>43223.647712016791</v>
          </cell>
          <cell r="AH70">
            <v>12558.941555662786</v>
          </cell>
          <cell r="AI70">
            <v>0.22514088572327057</v>
          </cell>
        </row>
        <row r="71">
          <cell r="E71">
            <v>2356</v>
          </cell>
          <cell r="F71" t="str">
            <v>Greystones Primary School</v>
          </cell>
          <cell r="G71">
            <v>8.1566068515497494E-3</v>
          </cell>
          <cell r="H71">
            <v>1.30505709624796E-2</v>
          </cell>
          <cell r="I71">
            <v>1.30505709624796E-2</v>
          </cell>
          <cell r="J71">
            <v>4.8939641109298502E-3</v>
          </cell>
          <cell r="K71">
            <v>1.14192495921697E-2</v>
          </cell>
          <cell r="L71">
            <v>1.46818923327896E-2</v>
          </cell>
          <cell r="M71">
            <v>0.93474714518760205</v>
          </cell>
          <cell r="N71">
            <v>1.0000000000000002</v>
          </cell>
          <cell r="P71">
            <v>4.9999999999999964</v>
          </cell>
          <cell r="Q71">
            <v>7.9999999999999947</v>
          </cell>
          <cell r="R71">
            <v>7.9999999999999947</v>
          </cell>
          <cell r="S71">
            <v>2.9999999999999982</v>
          </cell>
          <cell r="T71">
            <v>7.0000000000000258</v>
          </cell>
          <cell r="U71">
            <v>9.0000000000000249</v>
          </cell>
          <cell r="V71">
            <v>573</v>
          </cell>
          <cell r="W71">
            <v>613</v>
          </cell>
          <cell r="Y71">
            <v>3063.4700663397794</v>
          </cell>
          <cell r="Z71">
            <v>3731.0322001988957</v>
          </cell>
          <cell r="AA71">
            <v>3511.5597178342546</v>
          </cell>
          <cell r="AB71">
            <v>1207.0986530055252</v>
          </cell>
          <cell r="AC71">
            <v>1792.3586059779084</v>
          </cell>
          <cell r="AD71">
            <v>1892.9501603950343</v>
          </cell>
          <cell r="AE71">
            <v>15198.469403751396</v>
          </cell>
          <cell r="AG71">
            <v>11357.843246061926</v>
          </cell>
          <cell r="AH71">
            <v>3840.6261576894703</v>
          </cell>
          <cell r="AI71">
            <v>0.25269821951554539</v>
          </cell>
        </row>
        <row r="72">
          <cell r="E72">
            <v>2279</v>
          </cell>
          <cell r="F72" t="str">
            <v>Halfway Junior School</v>
          </cell>
          <cell r="G72">
            <v>4.8543689320388302E-3</v>
          </cell>
          <cell r="H72">
            <v>5.3398058252427202E-2</v>
          </cell>
          <cell r="I72">
            <v>4.8543689320388302E-3</v>
          </cell>
          <cell r="J72">
            <v>1.45631067961165E-2</v>
          </cell>
          <cell r="K72">
            <v>0.16504854368932001</v>
          </cell>
          <cell r="L72">
            <v>0.16019417475728201</v>
          </cell>
          <cell r="M72">
            <v>0.59708737864077699</v>
          </cell>
          <cell r="N72">
            <v>1.0000000000000004</v>
          </cell>
          <cell r="P72">
            <v>0.999999999999999</v>
          </cell>
          <cell r="Q72">
            <v>11.000000000000004</v>
          </cell>
          <cell r="R72">
            <v>0.999999999999999</v>
          </cell>
          <cell r="S72">
            <v>2.9999999999999991</v>
          </cell>
          <cell r="T72">
            <v>33.999999999999922</v>
          </cell>
          <cell r="U72">
            <v>33.000000000000092</v>
          </cell>
          <cell r="V72">
            <v>123.00000000000006</v>
          </cell>
          <cell r="W72">
            <v>206</v>
          </cell>
          <cell r="Y72">
            <v>612.69401326795571</v>
          </cell>
          <cell r="Z72">
            <v>5130.1692752734862</v>
          </cell>
          <cell r="AA72">
            <v>438.94496472928165</v>
          </cell>
          <cell r="AB72">
            <v>1207.0986530055254</v>
          </cell>
          <cell r="AC72">
            <v>8705.7418004640749</v>
          </cell>
          <cell r="AD72">
            <v>6940.8172547817931</v>
          </cell>
          <cell r="AE72">
            <v>23035.465961522117</v>
          </cell>
          <cell r="AG72">
            <v>19027.784782949751</v>
          </cell>
          <cell r="AH72">
            <v>4007.6811785723658</v>
          </cell>
          <cell r="AI72">
            <v>0.17397873284902068</v>
          </cell>
        </row>
        <row r="73">
          <cell r="E73">
            <v>2252</v>
          </cell>
          <cell r="F73" t="str">
            <v>Halfway Nursery Infant School</v>
          </cell>
          <cell r="G73">
            <v>0</v>
          </cell>
          <cell r="H73">
            <v>8.2802547770700605E-2</v>
          </cell>
          <cell r="I73">
            <v>6.3694267515923596E-3</v>
          </cell>
          <cell r="J73">
            <v>0</v>
          </cell>
          <cell r="K73">
            <v>0.14012738853503201</v>
          </cell>
          <cell r="L73">
            <v>0.22292993630573199</v>
          </cell>
          <cell r="M73">
            <v>0.547770700636943</v>
          </cell>
          <cell r="N73">
            <v>1</v>
          </cell>
          <cell r="P73">
            <v>0</v>
          </cell>
          <cell r="Q73">
            <v>12.999999999999995</v>
          </cell>
          <cell r="R73">
            <v>1.0000000000000004</v>
          </cell>
          <cell r="S73">
            <v>0</v>
          </cell>
          <cell r="T73">
            <v>22.000000000000025</v>
          </cell>
          <cell r="U73">
            <v>34.999999999999922</v>
          </cell>
          <cell r="V73">
            <v>86.000000000000057</v>
          </cell>
          <cell r="W73">
            <v>157</v>
          </cell>
          <cell r="Y73">
            <v>0</v>
          </cell>
          <cell r="Z73">
            <v>6062.9273253232068</v>
          </cell>
          <cell r="AA73">
            <v>438.94496472928228</v>
          </cell>
          <cell r="AB73">
            <v>0</v>
          </cell>
          <cell r="AC73">
            <v>5633.1270473591258</v>
          </cell>
          <cell r="AD73">
            <v>7361.4728459806529</v>
          </cell>
          <cell r="AE73">
            <v>19496.472183392267</v>
          </cell>
          <cell r="AG73">
            <v>14696.356381837646</v>
          </cell>
          <cell r="AH73">
            <v>4800.1158015546207</v>
          </cell>
          <cell r="AI73">
            <v>0.24620432642391152</v>
          </cell>
        </row>
        <row r="74">
          <cell r="E74">
            <v>2357</v>
          </cell>
          <cell r="F74" t="str">
            <v>Hallam Primary School</v>
          </cell>
          <cell r="G74">
            <v>1.1058451816745699E-2</v>
          </cell>
          <cell r="H74">
            <v>1.26382306477093E-2</v>
          </cell>
          <cell r="I74">
            <v>1.1058451816745699E-2</v>
          </cell>
          <cell r="J74">
            <v>3.1595576619273301E-3</v>
          </cell>
          <cell r="K74">
            <v>1.7377567140600299E-2</v>
          </cell>
          <cell r="L74">
            <v>9.4786729857819895E-3</v>
          </cell>
          <cell r="M74">
            <v>0.93522906793048999</v>
          </cell>
          <cell r="N74">
            <v>1.0000000000000002</v>
          </cell>
          <cell r="P74">
            <v>7.0000000000000275</v>
          </cell>
          <cell r="Q74">
            <v>7.9999999999999867</v>
          </cell>
          <cell r="R74">
            <v>7.0000000000000275</v>
          </cell>
          <cell r="S74">
            <v>2</v>
          </cell>
          <cell r="T74">
            <v>10.999999999999989</v>
          </cell>
          <cell r="U74">
            <v>5.9999999999999991</v>
          </cell>
          <cell r="V74">
            <v>592.00000000000011</v>
          </cell>
          <cell r="W74">
            <v>633</v>
          </cell>
          <cell r="Y74">
            <v>4288.858092875711</v>
          </cell>
          <cell r="Z74">
            <v>3731.0322001988916</v>
          </cell>
          <cell r="AA74">
            <v>3072.6147531049869</v>
          </cell>
          <cell r="AB74">
            <v>804.73243533701725</v>
          </cell>
          <cell r="AC74">
            <v>2816.563523679557</v>
          </cell>
          <cell r="AD74">
            <v>1261.9667735966859</v>
          </cell>
          <cell r="AE74">
            <v>15975.767778792848</v>
          </cell>
          <cell r="AG74">
            <v>11133.244965565213</v>
          </cell>
          <cell r="AH74">
            <v>4842.5228132276352</v>
          </cell>
          <cell r="AI74">
            <v>0.30311675033583541</v>
          </cell>
        </row>
        <row r="75">
          <cell r="E75">
            <v>2050</v>
          </cell>
          <cell r="F75" t="str">
            <v>Hartley Brook Primary School</v>
          </cell>
          <cell r="G75">
            <v>0.256140350877193</v>
          </cell>
          <cell r="H75">
            <v>0.545614035087719</v>
          </cell>
          <cell r="I75">
            <v>0.163157894736842</v>
          </cell>
          <cell r="J75">
            <v>0</v>
          </cell>
          <cell r="K75">
            <v>1.7543859649122801E-3</v>
          </cell>
          <cell r="L75">
            <v>8.7719298245613996E-3</v>
          </cell>
          <cell r="M75">
            <v>2.4561403508771899E-2</v>
          </cell>
          <cell r="N75">
            <v>0.99999999999999967</v>
          </cell>
          <cell r="P75">
            <v>146</v>
          </cell>
          <cell r="Q75">
            <v>310.99999999999983</v>
          </cell>
          <cell r="R75">
            <v>92.999999999999943</v>
          </cell>
          <cell r="S75">
            <v>0</v>
          </cell>
          <cell r="T75">
            <v>0.99999999999999967</v>
          </cell>
          <cell r="U75">
            <v>4.9999999999999973</v>
          </cell>
          <cell r="V75">
            <v>13.999999999999982</v>
          </cell>
          <cell r="W75">
            <v>570</v>
          </cell>
          <cell r="Y75">
            <v>89453.325937121612</v>
          </cell>
          <cell r="Z75">
            <v>145043.87678273208</v>
          </cell>
          <cell r="AA75">
            <v>40821.881719823214</v>
          </cell>
          <cell r="AB75">
            <v>0</v>
          </cell>
          <cell r="AC75">
            <v>256.05122942541442</v>
          </cell>
          <cell r="AD75">
            <v>1051.6389779972378</v>
          </cell>
          <cell r="AE75">
            <v>276626.77464709955</v>
          </cell>
          <cell r="AG75">
            <v>233242.23618934272</v>
          </cell>
          <cell r="AH75">
            <v>43384.538457756833</v>
          </cell>
          <cell r="AI75">
            <v>0.15683419840000554</v>
          </cell>
        </row>
        <row r="76">
          <cell r="E76">
            <v>2049</v>
          </cell>
          <cell r="F76" t="str">
            <v>Hatfield Academy</v>
          </cell>
          <cell r="G76">
            <v>0.12566844919786099</v>
          </cell>
          <cell r="H76">
            <v>0.51604278074866305</v>
          </cell>
          <cell r="I76">
            <v>0.30481283422459898</v>
          </cell>
          <cell r="J76">
            <v>0</v>
          </cell>
          <cell r="K76">
            <v>1.60427807486631E-2</v>
          </cell>
          <cell r="L76">
            <v>1.33689839572193E-2</v>
          </cell>
          <cell r="M76">
            <v>2.40641711229947E-2</v>
          </cell>
          <cell r="N76">
            <v>1</v>
          </cell>
          <cell r="P76">
            <v>47.000000000000014</v>
          </cell>
          <cell r="Q76">
            <v>192.99999999999997</v>
          </cell>
          <cell r="R76">
            <v>114.00000000000001</v>
          </cell>
          <cell r="S76">
            <v>0</v>
          </cell>
          <cell r="T76">
            <v>5.9999999999999991</v>
          </cell>
          <cell r="U76">
            <v>5.0000000000000178</v>
          </cell>
          <cell r="V76">
            <v>9.0000000000000178</v>
          </cell>
          <cell r="W76">
            <v>374</v>
          </cell>
          <cell r="Y76">
            <v>28796.618623593953</v>
          </cell>
          <cell r="Z76">
            <v>90011.1518297984</v>
          </cell>
          <cell r="AA76">
            <v>50039.725979138166</v>
          </cell>
          <cell r="AB76">
            <v>0</v>
          </cell>
          <cell r="AC76">
            <v>1536.3073765524869</v>
          </cell>
          <cell r="AD76">
            <v>1051.6389779972421</v>
          </cell>
          <cell r="AE76">
            <v>171435.44278708025</v>
          </cell>
          <cell r="AG76">
            <v>135858.31885281103</v>
          </cell>
          <cell r="AH76">
            <v>35577.123934269213</v>
          </cell>
          <cell r="AI76">
            <v>0.20752490474478702</v>
          </cell>
        </row>
        <row r="77">
          <cell r="E77">
            <v>2297</v>
          </cell>
          <cell r="F77" t="str">
            <v>High Green Primary School</v>
          </cell>
          <cell r="G77">
            <v>0</v>
          </cell>
          <cell r="H77">
            <v>0.13917525773195899</v>
          </cell>
          <cell r="I77">
            <v>5.1546391752577301E-3</v>
          </cell>
          <cell r="J77">
            <v>0</v>
          </cell>
          <cell r="K77">
            <v>0.180412371134021</v>
          </cell>
          <cell r="L77">
            <v>0</v>
          </cell>
          <cell r="M77">
            <v>0.67525773195876304</v>
          </cell>
          <cell r="N77">
            <v>1.0000000000000009</v>
          </cell>
          <cell r="P77">
            <v>0</v>
          </cell>
          <cell r="Q77">
            <v>27.000000000000043</v>
          </cell>
          <cell r="R77">
            <v>0.99999999999999967</v>
          </cell>
          <cell r="S77">
            <v>0</v>
          </cell>
          <cell r="T77">
            <v>35.000000000000078</v>
          </cell>
          <cell r="U77">
            <v>0</v>
          </cell>
          <cell r="V77">
            <v>131.00000000000003</v>
          </cell>
          <cell r="W77">
            <v>194</v>
          </cell>
          <cell r="Y77">
            <v>0</v>
          </cell>
          <cell r="Z77">
            <v>12592.233675671301</v>
          </cell>
          <cell r="AA77">
            <v>438.94496472928193</v>
          </cell>
          <cell r="AB77">
            <v>0</v>
          </cell>
          <cell r="AC77">
            <v>8961.793029889528</v>
          </cell>
          <cell r="AD77">
            <v>0</v>
          </cell>
          <cell r="AE77">
            <v>21992.971670290113</v>
          </cell>
          <cell r="AG77">
            <v>17722.556171644363</v>
          </cell>
          <cell r="AH77">
            <v>4270.4154986457506</v>
          </cell>
          <cell r="AI77">
            <v>0.19417182737585997</v>
          </cell>
        </row>
        <row r="78">
          <cell r="E78">
            <v>2042</v>
          </cell>
          <cell r="F78" t="str">
            <v>High Hazels Junior School</v>
          </cell>
          <cell r="G78">
            <v>1.1235955056179799E-2</v>
          </cell>
          <cell r="H78">
            <v>0.37078651685393299</v>
          </cell>
          <cell r="I78">
            <v>1.6853932584269701E-2</v>
          </cell>
          <cell r="J78">
            <v>0.46348314606741597</v>
          </cell>
          <cell r="K78">
            <v>0.117977528089888</v>
          </cell>
          <cell r="L78">
            <v>2.8089887640449398E-3</v>
          </cell>
          <cell r="M78">
            <v>1.6853932584269701E-2</v>
          </cell>
          <cell r="N78">
            <v>1.0000000000000011</v>
          </cell>
          <cell r="P78">
            <v>4.0000000000000089</v>
          </cell>
          <cell r="Q78">
            <v>132.00000000000014</v>
          </cell>
          <cell r="R78">
            <v>6.0000000000000133</v>
          </cell>
          <cell r="S78">
            <v>165.00000000000009</v>
          </cell>
          <cell r="T78">
            <v>42.000000000000128</v>
          </cell>
          <cell r="U78">
            <v>0.99999999999999856</v>
          </cell>
          <cell r="V78">
            <v>6.0000000000000133</v>
          </cell>
          <cell r="W78">
            <v>356</v>
          </cell>
          <cell r="Y78">
            <v>2450.7760530718306</v>
          </cell>
          <cell r="Z78">
            <v>61562.031303281881</v>
          </cell>
          <cell r="AA78">
            <v>2633.6697883756983</v>
          </cell>
          <cell r="AB78">
            <v>66390.42591530396</v>
          </cell>
          <cell r="AC78">
            <v>10754.151635867443</v>
          </cell>
          <cell r="AD78">
            <v>210.32779559944737</v>
          </cell>
          <cell r="AE78">
            <v>144001.38249150026</v>
          </cell>
          <cell r="AG78">
            <v>114645.8592524893</v>
          </cell>
          <cell r="AH78">
            <v>29355.52323901096</v>
          </cell>
          <cell r="AI78">
            <v>0.20385584312528165</v>
          </cell>
        </row>
        <row r="79">
          <cell r="E79">
            <v>2039</v>
          </cell>
          <cell r="F79" t="str">
            <v>High Hazels Nursery Infant Academy</v>
          </cell>
          <cell r="G79">
            <v>1.6129032258064498E-2</v>
          </cell>
          <cell r="H79">
            <v>0.36693548387096803</v>
          </cell>
          <cell r="I79">
            <v>8.0645161290322596E-3</v>
          </cell>
          <cell r="J79">
            <v>0.47983870967741898</v>
          </cell>
          <cell r="K79">
            <v>9.6774193548387094E-2</v>
          </cell>
          <cell r="L79">
            <v>4.0322580645161298E-3</v>
          </cell>
          <cell r="M79">
            <v>2.8225806451612899E-2</v>
          </cell>
          <cell r="N79">
            <v>0.99999999999999989</v>
          </cell>
          <cell r="P79">
            <v>3.9999999999999956</v>
          </cell>
          <cell r="Q79">
            <v>91.000000000000071</v>
          </cell>
          <cell r="R79">
            <v>2.0000000000000004</v>
          </cell>
          <cell r="S79">
            <v>118.99999999999991</v>
          </cell>
          <cell r="T79">
            <v>24</v>
          </cell>
          <cell r="U79">
            <v>1.0000000000000002</v>
          </cell>
          <cell r="V79">
            <v>6.9999999999999991</v>
          </cell>
          <cell r="W79">
            <v>248</v>
          </cell>
          <cell r="Y79">
            <v>2450.7760530718224</v>
          </cell>
          <cell r="Z79">
            <v>42440.491277262496</v>
          </cell>
          <cell r="AA79">
            <v>877.88992945856444</v>
          </cell>
          <cell r="AB79">
            <v>47881.57990255249</v>
          </cell>
          <cell r="AC79">
            <v>6145.2295062099492</v>
          </cell>
          <cell r="AD79">
            <v>210.32779559944774</v>
          </cell>
          <cell r="AE79">
            <v>100006.29446415477</v>
          </cell>
          <cell r="AG79">
            <v>74447.711330279184</v>
          </cell>
          <cell r="AH79">
            <v>25558.583133875582</v>
          </cell>
          <cell r="AI79">
            <v>0.25556974459279197</v>
          </cell>
        </row>
        <row r="80">
          <cell r="E80">
            <v>2339</v>
          </cell>
          <cell r="F80" t="str">
            <v>Hillsborough Primary School</v>
          </cell>
          <cell r="G80">
            <v>0.13235294117647101</v>
          </cell>
          <cell r="H80">
            <v>0.317647058823529</v>
          </cell>
          <cell r="I80">
            <v>0.11764705882352899</v>
          </cell>
          <cell r="J80">
            <v>2.94117647058824E-3</v>
          </cell>
          <cell r="K80">
            <v>5.8823529411764698E-2</v>
          </cell>
          <cell r="L80">
            <v>8.8235294117647092E-3</v>
          </cell>
          <cell r="M80">
            <v>0.36176470588235299</v>
          </cell>
          <cell r="N80">
            <v>0.99999999999999956</v>
          </cell>
          <cell r="P80">
            <v>45.000000000000142</v>
          </cell>
          <cell r="Q80">
            <v>107.99999999999986</v>
          </cell>
          <cell r="R80">
            <v>39.999999999999858</v>
          </cell>
          <cell r="S80">
            <v>1.0000000000000016</v>
          </cell>
          <cell r="T80">
            <v>19.999999999999996</v>
          </cell>
          <cell r="U80">
            <v>3.0000000000000013</v>
          </cell>
          <cell r="V80">
            <v>123.00000000000001</v>
          </cell>
          <cell r="W80">
            <v>340</v>
          </cell>
          <cell r="Y80">
            <v>27571.230597058118</v>
          </cell>
          <cell r="Z80">
            <v>50368.934702685059</v>
          </cell>
          <cell r="AA80">
            <v>17557.798589171223</v>
          </cell>
          <cell r="AB80">
            <v>402.36621766850925</v>
          </cell>
          <cell r="AC80">
            <v>5121.0245885082895</v>
          </cell>
          <cell r="AD80">
            <v>630.9833867983433</v>
          </cell>
          <cell r="AE80">
            <v>101652.33808188954</v>
          </cell>
          <cell r="AG80">
            <v>84543.604731403771</v>
          </cell>
          <cell r="AH80">
            <v>17108.733350485767</v>
          </cell>
          <cell r="AI80">
            <v>0.16830634369376962</v>
          </cell>
        </row>
        <row r="81">
          <cell r="E81">
            <v>2213</v>
          </cell>
          <cell r="F81" t="str">
            <v>Holt House Infant School</v>
          </cell>
          <cell r="G81">
            <v>0</v>
          </cell>
          <cell r="H81">
            <v>3.91061452513966E-2</v>
          </cell>
          <cell r="I81">
            <v>1.11731843575419E-2</v>
          </cell>
          <cell r="J81">
            <v>5.5865921787709499E-3</v>
          </cell>
          <cell r="K81">
            <v>1.67597765363128E-2</v>
          </cell>
          <cell r="L81">
            <v>4.4692737430167599E-2</v>
          </cell>
          <cell r="M81">
            <v>0.88268156424581001</v>
          </cell>
          <cell r="N81">
            <v>0.99999999999999989</v>
          </cell>
          <cell r="P81">
            <v>0</v>
          </cell>
          <cell r="Q81">
            <v>6.9999999999999911</v>
          </cell>
          <cell r="R81">
            <v>2</v>
          </cell>
          <cell r="S81">
            <v>1</v>
          </cell>
          <cell r="T81">
            <v>2.9999999999999911</v>
          </cell>
          <cell r="U81">
            <v>8</v>
          </cell>
          <cell r="V81">
            <v>158</v>
          </cell>
          <cell r="W81">
            <v>179</v>
          </cell>
          <cell r="Y81">
            <v>0</v>
          </cell>
          <cell r="Z81">
            <v>3264.6531751740317</v>
          </cell>
          <cell r="AA81">
            <v>877.88992945856421</v>
          </cell>
          <cell r="AB81">
            <v>402.36621766850863</v>
          </cell>
          <cell r="AC81">
            <v>768.15368827624127</v>
          </cell>
          <cell r="AD81">
            <v>1682.6223647955815</v>
          </cell>
          <cell r="AE81">
            <v>6995.6853753729265</v>
          </cell>
          <cell r="AG81">
            <v>4594.0912922222578</v>
          </cell>
          <cell r="AH81">
            <v>2401.5940831506687</v>
          </cell>
          <cell r="AI81">
            <v>0.34329646836392269</v>
          </cell>
        </row>
        <row r="82">
          <cell r="E82">
            <v>2337</v>
          </cell>
          <cell r="F82" t="str">
            <v>Hucklow Primary School</v>
          </cell>
          <cell r="G82">
            <v>3.6855036855036903E-2</v>
          </cell>
          <cell r="H82">
            <v>0.44471744471744501</v>
          </cell>
          <cell r="I82">
            <v>0.34643734643734603</v>
          </cell>
          <cell r="J82">
            <v>2.45700245700246E-3</v>
          </cell>
          <cell r="K82">
            <v>3.9312039312039297E-2</v>
          </cell>
          <cell r="L82">
            <v>0.12530712530712501</v>
          </cell>
          <cell r="M82">
            <v>4.9140049140049104E-3</v>
          </cell>
          <cell r="N82">
            <v>0.99999999999999967</v>
          </cell>
          <cell r="P82">
            <v>15.00000000000002</v>
          </cell>
          <cell r="Q82">
            <v>181.00000000000011</v>
          </cell>
          <cell r="R82">
            <v>140.99999999999983</v>
          </cell>
          <cell r="S82">
            <v>1.0000000000000011</v>
          </cell>
          <cell r="T82">
            <v>15.999999999999995</v>
          </cell>
          <cell r="U82">
            <v>50.999999999999879</v>
          </cell>
          <cell r="V82">
            <v>1.9999999999999984</v>
          </cell>
          <cell r="W82">
            <v>407</v>
          </cell>
          <cell r="Y82">
            <v>9190.4101990193558</v>
          </cell>
          <cell r="Z82">
            <v>84414.60352950012</v>
          </cell>
          <cell r="AA82">
            <v>61891.240026828702</v>
          </cell>
          <cell r="AB82">
            <v>402.36621766850908</v>
          </cell>
          <cell r="AC82">
            <v>4096.8196708066307</v>
          </cell>
          <cell r="AD82">
            <v>10726.717575571807</v>
          </cell>
          <cell r="AE82">
            <v>170722.15721939516</v>
          </cell>
          <cell r="AG82">
            <v>140532.83582732151</v>
          </cell>
          <cell r="AH82">
            <v>30189.321392073645</v>
          </cell>
          <cell r="AI82">
            <v>0.1768330595382375</v>
          </cell>
        </row>
        <row r="83">
          <cell r="E83">
            <v>2060</v>
          </cell>
          <cell r="F83" t="str">
            <v>Hunter's Bar Infant School</v>
          </cell>
          <cell r="G83">
            <v>3.7174721189591098E-3</v>
          </cell>
          <cell r="H83">
            <v>3.7174721189591101E-2</v>
          </cell>
          <cell r="I83">
            <v>7.4349442379182196E-3</v>
          </cell>
          <cell r="J83">
            <v>1.4869888475836399E-2</v>
          </cell>
          <cell r="K83">
            <v>1.11524163568773E-2</v>
          </cell>
          <cell r="L83">
            <v>1.4869888475836399E-2</v>
          </cell>
          <cell r="M83">
            <v>0.91078066914498101</v>
          </cell>
          <cell r="N83">
            <v>0.99999999999999956</v>
          </cell>
          <cell r="P83">
            <v>1.0000000000000004</v>
          </cell>
          <cell r="Q83">
            <v>10.000000000000005</v>
          </cell>
          <cell r="R83">
            <v>2.0000000000000009</v>
          </cell>
          <cell r="S83">
            <v>3.9999999999999916</v>
          </cell>
          <cell r="T83">
            <v>2.9999999999999938</v>
          </cell>
          <cell r="U83">
            <v>3.9999999999999916</v>
          </cell>
          <cell r="V83">
            <v>244.99999999999989</v>
          </cell>
          <cell r="W83">
            <v>269</v>
          </cell>
          <cell r="Y83">
            <v>612.69401326795651</v>
          </cell>
          <cell r="Z83">
            <v>4663.7902502486249</v>
          </cell>
          <cell r="AA83">
            <v>877.88992945856455</v>
          </cell>
          <cell r="AB83">
            <v>1609.4648706740311</v>
          </cell>
          <cell r="AC83">
            <v>768.15368827624195</v>
          </cell>
          <cell r="AD83">
            <v>841.31118239778891</v>
          </cell>
          <cell r="AE83">
            <v>9373.3039343232067</v>
          </cell>
          <cell r="AG83">
            <v>9600.0145348244823</v>
          </cell>
          <cell r="AH83">
            <v>-226.71060050127562</v>
          </cell>
          <cell r="AI83">
            <v>-2.418683978347333E-2</v>
          </cell>
        </row>
        <row r="84">
          <cell r="E84">
            <v>2058</v>
          </cell>
          <cell r="F84" t="str">
            <v>Hunter's Bar Junior School</v>
          </cell>
          <cell r="G84">
            <v>8.2872928176795594E-3</v>
          </cell>
          <cell r="H84">
            <v>8.0110497237569106E-2</v>
          </cell>
          <cell r="I84">
            <v>2.4861878453038701E-2</v>
          </cell>
          <cell r="J84">
            <v>1.38121546961326E-2</v>
          </cell>
          <cell r="K84">
            <v>2.4861878453038701E-2</v>
          </cell>
          <cell r="L84">
            <v>2.4861878453038701E-2</v>
          </cell>
          <cell r="M84">
            <v>0.82320441988950299</v>
          </cell>
          <cell r="N84">
            <v>1.0000000000000004</v>
          </cell>
          <cell r="P84">
            <v>3.0000000000000004</v>
          </cell>
          <cell r="Q84">
            <v>29.000000000000018</v>
          </cell>
          <cell r="R84">
            <v>9.0000000000000089</v>
          </cell>
          <cell r="S84">
            <v>5.0000000000000009</v>
          </cell>
          <cell r="T84">
            <v>9.0000000000000089</v>
          </cell>
          <cell r="U84">
            <v>9.0000000000000089</v>
          </cell>
          <cell r="V84">
            <v>298.00000000000006</v>
          </cell>
          <cell r="W84">
            <v>362</v>
          </cell>
          <cell r="Y84">
            <v>1838.0820398038691</v>
          </cell>
          <cell r="Z84">
            <v>13524.991725721013</v>
          </cell>
          <cell r="AA84">
            <v>3950.5046825635427</v>
          </cell>
          <cell r="AB84">
            <v>2011.8310883425436</v>
          </cell>
          <cell r="AC84">
            <v>2304.461064828733</v>
          </cell>
          <cell r="AD84">
            <v>1892.9501603950309</v>
          </cell>
          <cell r="AE84">
            <v>25522.820761654733</v>
          </cell>
          <cell r="AG84">
            <v>21690.403077235329</v>
          </cell>
          <cell r="AH84">
            <v>3832.4176844194044</v>
          </cell>
          <cell r="AI84">
            <v>0.15015650974508254</v>
          </cell>
        </row>
        <row r="85">
          <cell r="E85">
            <v>2063</v>
          </cell>
          <cell r="F85" t="str">
            <v>Intake Primary School</v>
          </cell>
          <cell r="G85">
            <v>5.8111380145278502E-2</v>
          </cell>
          <cell r="H85">
            <v>7.0217917675544805E-2</v>
          </cell>
          <cell r="I85">
            <v>1.93704600484262E-2</v>
          </cell>
          <cell r="J85">
            <v>9.4430992736077496E-2</v>
          </cell>
          <cell r="K85">
            <v>2.9055690072639199E-2</v>
          </cell>
          <cell r="L85">
            <v>0.33171912832929801</v>
          </cell>
          <cell r="M85">
            <v>0.397094430992736</v>
          </cell>
          <cell r="N85">
            <v>1.0000000000000002</v>
          </cell>
          <cell r="P85">
            <v>24.000000000000021</v>
          </cell>
          <cell r="Q85">
            <v>29.000000000000004</v>
          </cell>
          <cell r="R85">
            <v>8.0000000000000213</v>
          </cell>
          <cell r="S85">
            <v>39.000000000000007</v>
          </cell>
          <cell r="T85">
            <v>11.999999999999989</v>
          </cell>
          <cell r="U85">
            <v>137.00000000000009</v>
          </cell>
          <cell r="V85">
            <v>163.99999999999997</v>
          </cell>
          <cell r="W85">
            <v>413</v>
          </cell>
          <cell r="Y85">
            <v>14704.656318430963</v>
          </cell>
          <cell r="Z85">
            <v>13524.991725721007</v>
          </cell>
          <cell r="AA85">
            <v>3511.5597178342664</v>
          </cell>
          <cell r="AB85">
            <v>15692.282489071838</v>
          </cell>
          <cell r="AC85">
            <v>3072.6147531049714</v>
          </cell>
          <cell r="AD85">
            <v>28814.907997124352</v>
          </cell>
          <cell r="AE85">
            <v>79321.0130012874</v>
          </cell>
          <cell r="AG85">
            <v>62985.256557683504</v>
          </cell>
          <cell r="AH85">
            <v>16335.756443603896</v>
          </cell>
          <cell r="AI85">
            <v>0.2059448792382261</v>
          </cell>
        </row>
        <row r="86">
          <cell r="E86">
            <v>2261</v>
          </cell>
          <cell r="F86" t="str">
            <v>Limpsfield Junior School</v>
          </cell>
          <cell r="G86">
            <v>2.66666666666667E-2</v>
          </cell>
          <cell r="H86">
            <v>0.10222222222222201</v>
          </cell>
          <cell r="I86">
            <v>0.34222222222222198</v>
          </cell>
          <cell r="J86">
            <v>8.8888888888888906E-3</v>
          </cell>
          <cell r="K86">
            <v>0.26222222222222202</v>
          </cell>
          <cell r="L86">
            <v>5.7777777777777803E-2</v>
          </cell>
          <cell r="M86">
            <v>0.2</v>
          </cell>
          <cell r="N86">
            <v>0.99999999999999956</v>
          </cell>
          <cell r="P86">
            <v>6.0000000000000071</v>
          </cell>
          <cell r="Q86">
            <v>22.99999999999995</v>
          </cell>
          <cell r="R86">
            <v>76.999999999999943</v>
          </cell>
          <cell r="S86">
            <v>2.0000000000000004</v>
          </cell>
          <cell r="T86">
            <v>58.999999999999957</v>
          </cell>
          <cell r="U86">
            <v>13.000000000000005</v>
          </cell>
          <cell r="V86">
            <v>45</v>
          </cell>
          <cell r="W86">
            <v>225</v>
          </cell>
          <cell r="Y86">
            <v>3676.1640796077422</v>
          </cell>
          <cell r="Z86">
            <v>10726.717575571809</v>
          </cell>
          <cell r="AA86">
            <v>33798.762284154698</v>
          </cell>
          <cell r="AB86">
            <v>804.73243533701748</v>
          </cell>
          <cell r="AC86">
            <v>15107.022536099446</v>
          </cell>
          <cell r="AD86">
            <v>2734.2613427928209</v>
          </cell>
          <cell r="AE86">
            <v>66847.660253563532</v>
          </cell>
          <cell r="AG86">
            <v>56304.562136580033</v>
          </cell>
          <cell r="AH86">
            <v>10543.098116983499</v>
          </cell>
          <cell r="AI86">
            <v>0.1577182817916423</v>
          </cell>
        </row>
        <row r="87">
          <cell r="E87">
            <v>2315</v>
          </cell>
          <cell r="F87" t="str">
            <v>Lound Infant School</v>
          </cell>
          <cell r="G87">
            <v>0</v>
          </cell>
          <cell r="H87">
            <v>8.1081081081081099E-2</v>
          </cell>
          <cell r="I87">
            <v>0</v>
          </cell>
          <cell r="J87">
            <v>6.7567567567567597E-3</v>
          </cell>
          <cell r="K87">
            <v>2.7027027027027001E-2</v>
          </cell>
          <cell r="L87">
            <v>6.7567567567567597E-3</v>
          </cell>
          <cell r="M87">
            <v>0.87837837837837796</v>
          </cell>
          <cell r="N87">
            <v>0.99999999999999956</v>
          </cell>
          <cell r="P87">
            <v>0</v>
          </cell>
          <cell r="Q87">
            <v>12.000000000000004</v>
          </cell>
          <cell r="R87">
            <v>0</v>
          </cell>
          <cell r="S87">
            <v>1.0000000000000004</v>
          </cell>
          <cell r="T87">
            <v>3.999999999999996</v>
          </cell>
          <cell r="U87">
            <v>1.0000000000000004</v>
          </cell>
          <cell r="V87">
            <v>129.99999999999994</v>
          </cell>
          <cell r="W87">
            <v>148</v>
          </cell>
          <cell r="Y87">
            <v>0</v>
          </cell>
          <cell r="Z87">
            <v>5596.5483002983483</v>
          </cell>
          <cell r="AA87">
            <v>0</v>
          </cell>
          <cell r="AB87">
            <v>402.3662176685088</v>
          </cell>
          <cell r="AC87">
            <v>1024.204917701657</v>
          </cell>
          <cell r="AD87">
            <v>210.32779559944777</v>
          </cell>
          <cell r="AE87">
            <v>7233.4472312679618</v>
          </cell>
          <cell r="AG87">
            <v>6280.8837043554977</v>
          </cell>
          <cell r="AH87">
            <v>952.56352691246411</v>
          </cell>
          <cell r="AI87">
            <v>0.13168873656737631</v>
          </cell>
        </row>
        <row r="88">
          <cell r="E88">
            <v>2298</v>
          </cell>
          <cell r="F88" t="str">
            <v>Lound Junior School</v>
          </cell>
          <cell r="G88">
            <v>4.739336492891E-3</v>
          </cell>
          <cell r="H88">
            <v>7.10900473933649E-2</v>
          </cell>
          <cell r="I88">
            <v>4.739336492891E-3</v>
          </cell>
          <cell r="J88">
            <v>0</v>
          </cell>
          <cell r="K88">
            <v>2.8436018957346001E-2</v>
          </cell>
          <cell r="L88">
            <v>9.4786729857819895E-3</v>
          </cell>
          <cell r="M88">
            <v>0.88151658767772501</v>
          </cell>
          <cell r="N88">
            <v>0.99999999999999989</v>
          </cell>
          <cell r="P88">
            <v>1.0000000000000009</v>
          </cell>
          <cell r="Q88">
            <v>14.999999999999995</v>
          </cell>
          <cell r="R88">
            <v>1.0000000000000009</v>
          </cell>
          <cell r="S88">
            <v>0</v>
          </cell>
          <cell r="T88">
            <v>6.0000000000000062</v>
          </cell>
          <cell r="U88">
            <v>1.9999999999999998</v>
          </cell>
          <cell r="V88">
            <v>185.99999999999997</v>
          </cell>
          <cell r="W88">
            <v>211</v>
          </cell>
          <cell r="Y88">
            <v>612.69401326795685</v>
          </cell>
          <cell r="Z88">
            <v>6995.685375372931</v>
          </cell>
          <cell r="AA88">
            <v>438.9449647292825</v>
          </cell>
          <cell r="AB88">
            <v>0</v>
          </cell>
          <cell r="AC88">
            <v>1536.3073765524889</v>
          </cell>
          <cell r="AD88">
            <v>420.65559119889531</v>
          </cell>
          <cell r="AE88">
            <v>10004.287321121556</v>
          </cell>
          <cell r="AG88">
            <v>8960.687842886482</v>
          </cell>
          <cell r="AH88">
            <v>1043.5994782350735</v>
          </cell>
          <cell r="AI88">
            <v>0.10431522453696164</v>
          </cell>
        </row>
        <row r="89">
          <cell r="E89">
            <v>2029</v>
          </cell>
          <cell r="F89" t="str">
            <v>Lowedges Junior Academy</v>
          </cell>
          <cell r="G89">
            <v>6.6889632107023402E-3</v>
          </cell>
          <cell r="H89">
            <v>0.56187290969899695</v>
          </cell>
          <cell r="I89">
            <v>0.26421404682274202</v>
          </cell>
          <cell r="J89">
            <v>2.6755852842809399E-2</v>
          </cell>
          <cell r="K89">
            <v>1.00334448160535E-2</v>
          </cell>
          <cell r="L89">
            <v>6.6889632107023402E-3</v>
          </cell>
          <cell r="M89">
            <v>0.12374581939799301</v>
          </cell>
          <cell r="N89">
            <v>0.99999999999999956</v>
          </cell>
          <cell r="P89">
            <v>1.9999999999999998</v>
          </cell>
          <cell r="Q89">
            <v>168.00000000000009</v>
          </cell>
          <cell r="R89">
            <v>78.999999999999858</v>
          </cell>
          <cell r="S89">
            <v>8.0000000000000107</v>
          </cell>
          <cell r="T89">
            <v>2.9999999999999964</v>
          </cell>
          <cell r="U89">
            <v>1.9999999999999998</v>
          </cell>
          <cell r="V89">
            <v>36.999999999999908</v>
          </cell>
          <cell r="W89">
            <v>299</v>
          </cell>
          <cell r="Y89">
            <v>1225.3880265359123</v>
          </cell>
          <cell r="Z89">
            <v>78351.676204176896</v>
          </cell>
          <cell r="AA89">
            <v>34676.652213613226</v>
          </cell>
          <cell r="AB89">
            <v>3218.9297413480731</v>
          </cell>
          <cell r="AC89">
            <v>768.15368827624263</v>
          </cell>
          <cell r="AD89">
            <v>420.65559119889531</v>
          </cell>
          <cell r="AE89">
            <v>118661.45546514925</v>
          </cell>
          <cell r="AG89">
            <v>96621.124504080784</v>
          </cell>
          <cell r="AH89">
            <v>22040.330961068466</v>
          </cell>
          <cell r="AI89">
            <v>0.18574128283418612</v>
          </cell>
        </row>
        <row r="90">
          <cell r="E90">
            <v>2045</v>
          </cell>
          <cell r="F90" t="str">
            <v>Lower Meadow Primary School</v>
          </cell>
          <cell r="G90">
            <v>1.9305019305019301E-2</v>
          </cell>
          <cell r="H90">
            <v>0.54054054054054101</v>
          </cell>
          <cell r="I90">
            <v>0.21621621621621601</v>
          </cell>
          <cell r="J90">
            <v>1.15830115830116E-2</v>
          </cell>
          <cell r="K90">
            <v>0.18146718146718099</v>
          </cell>
          <cell r="L90">
            <v>0</v>
          </cell>
          <cell r="M90">
            <v>3.0888030888030899E-2</v>
          </cell>
          <cell r="N90">
            <v>0.99999999999999978</v>
          </cell>
          <cell r="P90">
            <v>4.9999999999999991</v>
          </cell>
          <cell r="Q90">
            <v>140.00000000000011</v>
          </cell>
          <cell r="R90">
            <v>55.999999999999943</v>
          </cell>
          <cell r="S90">
            <v>3.0000000000000044</v>
          </cell>
          <cell r="T90">
            <v>46.999999999999879</v>
          </cell>
          <cell r="U90">
            <v>0</v>
          </cell>
          <cell r="V90">
            <v>8.0000000000000036</v>
          </cell>
          <cell r="W90">
            <v>259</v>
          </cell>
          <cell r="Y90">
            <v>3063.4700663397807</v>
          </cell>
          <cell r="Z90">
            <v>65293.063503480764</v>
          </cell>
          <cell r="AA90">
            <v>24580.918024839772</v>
          </cell>
          <cell r="AB90">
            <v>1207.0986530055277</v>
          </cell>
          <cell r="AC90">
            <v>12034.407782994453</v>
          </cell>
          <cell r="AD90">
            <v>0</v>
          </cell>
          <cell r="AE90">
            <v>106178.9580306603</v>
          </cell>
          <cell r="AG90">
            <v>84010.482488122041</v>
          </cell>
          <cell r="AH90">
            <v>22168.475542538261</v>
          </cell>
          <cell r="AI90">
            <v>0.20878407505314639</v>
          </cell>
        </row>
        <row r="91">
          <cell r="E91">
            <v>2070</v>
          </cell>
          <cell r="F91" t="str">
            <v>Lowfield Community Primary School</v>
          </cell>
          <cell r="G91">
            <v>3.9577836411609502E-2</v>
          </cell>
          <cell r="H91">
            <v>0.21635883905013201</v>
          </cell>
          <cell r="I91">
            <v>5.0131926121372003E-2</v>
          </cell>
          <cell r="J91">
            <v>7.9155672823219003E-2</v>
          </cell>
          <cell r="K91">
            <v>0.28496042216358802</v>
          </cell>
          <cell r="L91">
            <v>0.12664907651714999</v>
          </cell>
          <cell r="M91">
            <v>0.20316622691292899</v>
          </cell>
          <cell r="N91">
            <v>0.99999999999999944</v>
          </cell>
          <cell r="P91">
            <v>15.000000000000002</v>
          </cell>
          <cell r="Q91">
            <v>82.000000000000028</v>
          </cell>
          <cell r="R91">
            <v>18.999999999999989</v>
          </cell>
          <cell r="S91">
            <v>30.000000000000004</v>
          </cell>
          <cell r="T91">
            <v>107.99999999999986</v>
          </cell>
          <cell r="U91">
            <v>47.999999999999844</v>
          </cell>
          <cell r="V91">
            <v>77.000000000000085</v>
          </cell>
          <cell r="W91">
            <v>379</v>
          </cell>
          <cell r="Y91">
            <v>9190.4101990193449</v>
          </cell>
          <cell r="Z91">
            <v>38243.08005203872</v>
          </cell>
          <cell r="AA91">
            <v>8339.9543298563549</v>
          </cell>
          <cell r="AB91">
            <v>12070.986530055261</v>
          </cell>
          <cell r="AC91">
            <v>27653.532777944733</v>
          </cell>
          <cell r="AD91">
            <v>10095.734188773456</v>
          </cell>
          <cell r="AE91">
            <v>105593.69807768786</v>
          </cell>
          <cell r="AG91">
            <v>86661.707860285009</v>
          </cell>
          <cell r="AH91">
            <v>18931.990217402854</v>
          </cell>
          <cell r="AI91">
            <v>0.17929090998853101</v>
          </cell>
        </row>
        <row r="92">
          <cell r="E92">
            <v>2292</v>
          </cell>
          <cell r="F92" t="str">
            <v>Loxley Primary School</v>
          </cell>
          <cell r="G92">
            <v>4.7619047619047597E-3</v>
          </cell>
          <cell r="H92">
            <v>9.5238095238095195E-3</v>
          </cell>
          <cell r="I92">
            <v>3.3333333333333298E-2</v>
          </cell>
          <cell r="J92">
            <v>4.7619047619047597E-3</v>
          </cell>
          <cell r="K92">
            <v>9.5238095238095195E-3</v>
          </cell>
          <cell r="L92">
            <v>5.2380952380952403E-2</v>
          </cell>
          <cell r="M92">
            <v>0.88571428571428601</v>
          </cell>
          <cell r="N92">
            <v>1.0000000000000002</v>
          </cell>
          <cell r="P92">
            <v>0.99999999999999956</v>
          </cell>
          <cell r="Q92">
            <v>1.9999999999999991</v>
          </cell>
          <cell r="R92">
            <v>6.9999999999999929</v>
          </cell>
          <cell r="S92">
            <v>0.99999999999999956</v>
          </cell>
          <cell r="T92">
            <v>1.9999999999999991</v>
          </cell>
          <cell r="U92">
            <v>11.000000000000005</v>
          </cell>
          <cell r="V92">
            <v>186.00000000000006</v>
          </cell>
          <cell r="W92">
            <v>210</v>
          </cell>
          <cell r="Y92">
            <v>612.69401326795605</v>
          </cell>
          <cell r="Z92">
            <v>932.75805004972403</v>
          </cell>
          <cell r="AA92">
            <v>3072.6147531049714</v>
          </cell>
          <cell r="AB92">
            <v>402.36621766850845</v>
          </cell>
          <cell r="AC92">
            <v>512.10245885082884</v>
          </cell>
          <cell r="AD92">
            <v>2313.6057515939256</v>
          </cell>
          <cell r="AE92">
            <v>7846.1412445359147</v>
          </cell>
          <cell r="AG92">
            <v>6457.4244521160517</v>
          </cell>
          <cell r="AH92">
            <v>1388.7167924198629</v>
          </cell>
          <cell r="AI92">
            <v>0.17699360094836059</v>
          </cell>
        </row>
        <row r="93">
          <cell r="E93">
            <v>2072</v>
          </cell>
          <cell r="F93" t="str">
            <v>Lydgate Infant School</v>
          </cell>
          <cell r="G93">
            <v>0</v>
          </cell>
          <cell r="H93">
            <v>1.4534883720930199E-2</v>
          </cell>
          <cell r="I93">
            <v>0</v>
          </cell>
          <cell r="J93">
            <v>2.9069767441860499E-3</v>
          </cell>
          <cell r="K93">
            <v>2.9069767441860499E-2</v>
          </cell>
          <cell r="L93">
            <v>1.16279069767442E-2</v>
          </cell>
          <cell r="M93">
            <v>0.94186046511627897</v>
          </cell>
          <cell r="N93">
            <v>0.99999999999999989</v>
          </cell>
          <cell r="P93">
            <v>0</v>
          </cell>
          <cell r="Q93">
            <v>4.9999999999999885</v>
          </cell>
          <cell r="R93">
            <v>0</v>
          </cell>
          <cell r="S93">
            <v>1.0000000000000011</v>
          </cell>
          <cell r="T93">
            <v>10.000000000000012</v>
          </cell>
          <cell r="U93">
            <v>4.0000000000000044</v>
          </cell>
          <cell r="V93">
            <v>323.99999999999994</v>
          </cell>
          <cell r="W93">
            <v>344</v>
          </cell>
          <cell r="Y93">
            <v>0</v>
          </cell>
          <cell r="Z93">
            <v>2331.8951251243057</v>
          </cell>
          <cell r="AA93">
            <v>0</v>
          </cell>
          <cell r="AB93">
            <v>402.36621766850908</v>
          </cell>
          <cell r="AC93">
            <v>2560.5122942541484</v>
          </cell>
          <cell r="AD93">
            <v>841.31118239779164</v>
          </cell>
          <cell r="AE93">
            <v>6136.0848194447544</v>
          </cell>
          <cell r="AG93">
            <v>7382.1998794095825</v>
          </cell>
          <cell r="AH93">
            <v>-1246.1150599648281</v>
          </cell>
          <cell r="AI93">
            <v>-0.20307982966858454</v>
          </cell>
        </row>
        <row r="94">
          <cell r="E94">
            <v>2071</v>
          </cell>
          <cell r="F94" t="str">
            <v>Lydgate Junior School</v>
          </cell>
          <cell r="G94">
            <v>4.1753653444676396E-3</v>
          </cell>
          <cell r="H94">
            <v>2.2964509394572001E-2</v>
          </cell>
          <cell r="I94">
            <v>4.1753653444676396E-3</v>
          </cell>
          <cell r="J94">
            <v>1.2526096033402901E-2</v>
          </cell>
          <cell r="K94">
            <v>3.1315240083507299E-2</v>
          </cell>
          <cell r="L94">
            <v>6.2630480167014599E-3</v>
          </cell>
          <cell r="M94">
            <v>0.91858037578288099</v>
          </cell>
          <cell r="N94">
            <v>0.99999999999999989</v>
          </cell>
          <cell r="P94">
            <v>1.9999999999999993</v>
          </cell>
          <cell r="Q94">
            <v>10.999999999999989</v>
          </cell>
          <cell r="R94">
            <v>1.9999999999999993</v>
          </cell>
          <cell r="S94">
            <v>5.9999999999999893</v>
          </cell>
          <cell r="T94">
            <v>14.999999999999996</v>
          </cell>
          <cell r="U94">
            <v>2.9999999999999991</v>
          </cell>
          <cell r="V94">
            <v>440</v>
          </cell>
          <cell r="W94">
            <v>479</v>
          </cell>
          <cell r="Y94">
            <v>1225.3880265359121</v>
          </cell>
          <cell r="Z94">
            <v>5130.1692752734798</v>
          </cell>
          <cell r="AA94">
            <v>877.88992945856387</v>
          </cell>
          <cell r="AB94">
            <v>2414.1973060110477</v>
          </cell>
          <cell r="AC94">
            <v>3840.7684413812171</v>
          </cell>
          <cell r="AD94">
            <v>630.98338679834285</v>
          </cell>
          <cell r="AE94">
            <v>14119.396365458564</v>
          </cell>
          <cell r="AG94">
            <v>8429.0620606661723</v>
          </cell>
          <cell r="AH94">
            <v>5690.3343047923918</v>
          </cell>
          <cell r="AI94">
            <v>0.40301540926445856</v>
          </cell>
        </row>
        <row r="95">
          <cell r="E95">
            <v>2358</v>
          </cell>
          <cell r="F95" t="str">
            <v>Malin Bridge Primary School</v>
          </cell>
          <cell r="G95">
            <v>1.93423597678917E-3</v>
          </cell>
          <cell r="H95">
            <v>4.0618955512572497E-2</v>
          </cell>
          <cell r="I95">
            <v>7.3500967117988397E-2</v>
          </cell>
          <cell r="J95">
            <v>9.6711798839458404E-3</v>
          </cell>
          <cell r="K95">
            <v>1.9342359767891702E-2</v>
          </cell>
          <cell r="L95">
            <v>0.15860735009671201</v>
          </cell>
          <cell r="M95">
            <v>0.69632495164410102</v>
          </cell>
          <cell r="N95">
            <v>1.0000000000000007</v>
          </cell>
          <cell r="P95">
            <v>1.0000000000000009</v>
          </cell>
          <cell r="Q95">
            <v>20.999999999999982</v>
          </cell>
          <cell r="R95">
            <v>38</v>
          </cell>
          <cell r="S95">
            <v>4.9999999999999991</v>
          </cell>
          <cell r="T95">
            <v>10.000000000000009</v>
          </cell>
          <cell r="U95">
            <v>82.000000000000114</v>
          </cell>
          <cell r="V95">
            <v>360.00000000000023</v>
          </cell>
          <cell r="W95">
            <v>517</v>
          </cell>
          <cell r="Y95">
            <v>612.69401326795685</v>
          </cell>
          <cell r="Z95">
            <v>9793.9595255220993</v>
          </cell>
          <cell r="AA95">
            <v>16679.908659712721</v>
          </cell>
          <cell r="AB95">
            <v>2011.8310883425427</v>
          </cell>
          <cell r="AC95">
            <v>2560.5122942541475</v>
          </cell>
          <cell r="AD95">
            <v>17246.879239154732</v>
          </cell>
          <cell r="AE95">
            <v>48905.784820254201</v>
          </cell>
          <cell r="AG95">
            <v>37549.215472169883</v>
          </cell>
          <cell r="AH95">
            <v>11356.569348084318</v>
          </cell>
          <cell r="AI95">
            <v>0.23221321137823814</v>
          </cell>
        </row>
        <row r="96">
          <cell r="E96">
            <v>2359</v>
          </cell>
          <cell r="F96" t="str">
            <v>Manor Lodge Community Primary and Nursery School</v>
          </cell>
          <cell r="G96">
            <v>9.6385542168674704E-2</v>
          </cell>
          <cell r="H96">
            <v>0.298192771084337</v>
          </cell>
          <cell r="I96">
            <v>0.156626506024096</v>
          </cell>
          <cell r="J96">
            <v>2.40963855421687E-2</v>
          </cell>
          <cell r="K96">
            <v>0.132530120481928</v>
          </cell>
          <cell r="L96">
            <v>8.4337349397590397E-2</v>
          </cell>
          <cell r="M96">
            <v>0.20783132530120499</v>
          </cell>
          <cell r="N96">
            <v>0.99999999999999989</v>
          </cell>
          <cell r="P96">
            <v>32.096385542168676</v>
          </cell>
          <cell r="Q96">
            <v>99.298192771084217</v>
          </cell>
          <cell r="R96">
            <v>52.156626506023969</v>
          </cell>
          <cell r="S96">
            <v>8.0240963855421779</v>
          </cell>
          <cell r="T96">
            <v>44.132530120482024</v>
          </cell>
          <cell r="U96">
            <v>28.084337349397604</v>
          </cell>
          <cell r="V96">
            <v>69.207831325301257</v>
          </cell>
          <cell r="W96">
            <v>333</v>
          </cell>
          <cell r="Y96">
            <v>19665.263269226936</v>
          </cell>
          <cell r="Z96">
            <v>46310.594331309083</v>
          </cell>
          <cell r="AA96">
            <v>22893.88858208503</v>
          </cell>
          <cell r="AB96">
            <v>3228.625312858157</v>
          </cell>
          <cell r="AC96">
            <v>11300.188595003559</v>
          </cell>
          <cell r="AD96">
            <v>5906.9167655700339</v>
          </cell>
          <cell r="AE96">
            <v>109305.4768560528</v>
          </cell>
          <cell r="AG96">
            <v>85261.160644568678</v>
          </cell>
          <cell r="AH96">
            <v>24044.316211484125</v>
          </cell>
          <cell r="AI96">
            <v>0.21997357225886041</v>
          </cell>
        </row>
        <row r="97">
          <cell r="E97">
            <v>2012</v>
          </cell>
          <cell r="F97" t="str">
            <v>Mansel Primary</v>
          </cell>
          <cell r="G97">
            <v>0.22556390977443599</v>
          </cell>
          <cell r="H97">
            <v>0.52631578947368396</v>
          </cell>
          <cell r="I97">
            <v>2.5062656641604002E-2</v>
          </cell>
          <cell r="J97">
            <v>7.5187969924812E-3</v>
          </cell>
          <cell r="K97">
            <v>2.5062656641604E-3</v>
          </cell>
          <cell r="L97">
            <v>0.162907268170426</v>
          </cell>
          <cell r="M97">
            <v>5.0125313283208003E-2</v>
          </cell>
          <cell r="N97">
            <v>0.99999999999999944</v>
          </cell>
          <cell r="P97">
            <v>89.999999999999957</v>
          </cell>
          <cell r="Q97">
            <v>209.99999999999989</v>
          </cell>
          <cell r="R97">
            <v>9.9999999999999964</v>
          </cell>
          <cell r="S97">
            <v>2.9999999999999987</v>
          </cell>
          <cell r="T97">
            <v>0.99999999999999956</v>
          </cell>
          <cell r="U97">
            <v>64.999999999999972</v>
          </cell>
          <cell r="V97">
            <v>19.999999999999993</v>
          </cell>
          <cell r="W97">
            <v>399</v>
          </cell>
          <cell r="Y97">
            <v>55142.46119411604</v>
          </cell>
          <cell r="Z97">
            <v>97939.595255221022</v>
          </cell>
          <cell r="AA97">
            <v>4389.4496472928195</v>
          </cell>
          <cell r="AB97">
            <v>1207.0986530055254</v>
          </cell>
          <cell r="AC97">
            <v>256.05122942541442</v>
          </cell>
          <cell r="AD97">
            <v>13671.306713964093</v>
          </cell>
          <cell r="AE97">
            <v>172605.96269302489</v>
          </cell>
          <cell r="AG97">
            <v>135095.31146911078</v>
          </cell>
          <cell r="AH97">
            <v>37510.651223914116</v>
          </cell>
          <cell r="AI97">
            <v>0.21731955628106434</v>
          </cell>
        </row>
        <row r="98">
          <cell r="E98">
            <v>2079</v>
          </cell>
          <cell r="F98" t="str">
            <v>Marlcliffe Community Primary School</v>
          </cell>
          <cell r="G98">
            <v>7.9840319361277404E-3</v>
          </cell>
          <cell r="H98">
            <v>0.101796407185629</v>
          </cell>
          <cell r="I98">
            <v>9.7804391217564901E-2</v>
          </cell>
          <cell r="J98">
            <v>7.9840319361277404E-3</v>
          </cell>
          <cell r="K98">
            <v>1.3972055888223599E-2</v>
          </cell>
          <cell r="L98">
            <v>2.39520958083832E-2</v>
          </cell>
          <cell r="M98">
            <v>0.74650698602794396</v>
          </cell>
          <cell r="N98">
            <v>1</v>
          </cell>
          <cell r="P98">
            <v>3.9999999999999978</v>
          </cell>
          <cell r="Q98">
            <v>51.000000000000128</v>
          </cell>
          <cell r="R98">
            <v>49.000000000000014</v>
          </cell>
          <cell r="S98">
            <v>3.9999999999999978</v>
          </cell>
          <cell r="T98">
            <v>7.0000000000000231</v>
          </cell>
          <cell r="U98">
            <v>11.999999999999984</v>
          </cell>
          <cell r="V98">
            <v>373.99999999999994</v>
          </cell>
          <cell r="W98">
            <v>501</v>
          </cell>
          <cell r="Y98">
            <v>2450.7760530718238</v>
          </cell>
          <cell r="Z98">
            <v>23785.330276268032</v>
          </cell>
          <cell r="AA98">
            <v>21508.303271734829</v>
          </cell>
          <cell r="AB98">
            <v>1609.4648706740336</v>
          </cell>
          <cell r="AC98">
            <v>1792.3586059779077</v>
          </cell>
          <cell r="AD98">
            <v>2523.9335471933687</v>
          </cell>
          <cell r="AE98">
            <v>53670.166624919992</v>
          </cell>
          <cell r="AG98">
            <v>47656.984100723916</v>
          </cell>
          <cell r="AH98">
            <v>6013.182524196076</v>
          </cell>
          <cell r="AI98">
            <v>0.11203957249135968</v>
          </cell>
        </row>
        <row r="99">
          <cell r="E99">
            <v>2081</v>
          </cell>
          <cell r="F99" t="str">
            <v>Meersbrook Bank Primary School</v>
          </cell>
          <cell r="G99">
            <v>4.8309178743961402E-3</v>
          </cell>
          <cell r="H99">
            <v>4.8309178743961402E-3</v>
          </cell>
          <cell r="I99">
            <v>4.8309178743961402E-3</v>
          </cell>
          <cell r="J99">
            <v>4.8309178743961402E-3</v>
          </cell>
          <cell r="K99">
            <v>3.3816425120772903E-2</v>
          </cell>
          <cell r="L99">
            <v>9.1787439613526603E-2</v>
          </cell>
          <cell r="M99">
            <v>0.85507246376811596</v>
          </cell>
          <cell r="N99">
            <v>1</v>
          </cell>
          <cell r="P99">
            <v>1.0000000000000011</v>
          </cell>
          <cell r="Q99">
            <v>1.0000000000000011</v>
          </cell>
          <cell r="R99">
            <v>1.0000000000000011</v>
          </cell>
          <cell r="S99">
            <v>1.0000000000000011</v>
          </cell>
          <cell r="T99">
            <v>6.9999999999999911</v>
          </cell>
          <cell r="U99">
            <v>19.000000000000007</v>
          </cell>
          <cell r="V99">
            <v>177</v>
          </cell>
          <cell r="W99">
            <v>207</v>
          </cell>
          <cell r="Y99">
            <v>612.69401326795696</v>
          </cell>
          <cell r="Z99">
            <v>466.37902502486276</v>
          </cell>
          <cell r="AA99">
            <v>438.94496472928262</v>
          </cell>
          <cell r="AB99">
            <v>402.36621766850908</v>
          </cell>
          <cell r="AC99">
            <v>1792.3586059778995</v>
          </cell>
          <cell r="AD99">
            <v>3996.2281163895072</v>
          </cell>
          <cell r="AE99">
            <v>7708.9709430580187</v>
          </cell>
          <cell r="AG99">
            <v>5804.5083769940229</v>
          </cell>
          <cell r="AH99">
            <v>1904.4625660639958</v>
          </cell>
          <cell r="AI99">
            <v>0.24704497917182805</v>
          </cell>
        </row>
        <row r="100">
          <cell r="E100">
            <v>2013</v>
          </cell>
          <cell r="F100" t="str">
            <v>Meynell Community Primary School</v>
          </cell>
          <cell r="G100">
            <v>0.467391304347826</v>
          </cell>
          <cell r="H100">
            <v>0.33695652173912999</v>
          </cell>
          <cell r="I100">
            <v>0.108695652173913</v>
          </cell>
          <cell r="J100">
            <v>8.1521739130434798E-3</v>
          </cell>
          <cell r="K100">
            <v>2.9891304347826098E-2</v>
          </cell>
          <cell r="L100">
            <v>1.0869565217391301E-2</v>
          </cell>
          <cell r="M100">
            <v>3.8043478260869602E-2</v>
          </cell>
          <cell r="N100">
            <v>0.99999999999999944</v>
          </cell>
          <cell r="P100">
            <v>171.99999999999997</v>
          </cell>
          <cell r="Q100">
            <v>123.99999999999983</v>
          </cell>
          <cell r="R100">
            <v>39.999999999999986</v>
          </cell>
          <cell r="S100">
            <v>3.0000000000000004</v>
          </cell>
          <cell r="T100">
            <v>11.000000000000004</v>
          </cell>
          <cell r="U100">
            <v>3.9999999999999987</v>
          </cell>
          <cell r="V100">
            <v>14.000000000000014</v>
          </cell>
          <cell r="W100">
            <v>368</v>
          </cell>
          <cell r="Y100">
            <v>105383.37028208846</v>
          </cell>
          <cell r="Z100">
            <v>57830.999103082839</v>
          </cell>
          <cell r="AA100">
            <v>17557.798589171278</v>
          </cell>
          <cell r="AB100">
            <v>1207.0986530055261</v>
          </cell>
          <cell r="AC100">
            <v>2816.5635236795606</v>
          </cell>
          <cell r="AD100">
            <v>841.3111823977905</v>
          </cell>
          <cell r="AE100">
            <v>185637.14133342548</v>
          </cell>
          <cell r="AG100">
            <v>146254.02206096603</v>
          </cell>
          <cell r="AH100">
            <v>39383.119272459444</v>
          </cell>
          <cell r="AI100">
            <v>0.21215107596234134</v>
          </cell>
        </row>
        <row r="101">
          <cell r="E101">
            <v>2346</v>
          </cell>
          <cell r="F101" t="str">
            <v>Monteney Primary School</v>
          </cell>
          <cell r="G101">
            <v>7.4257425742574296E-2</v>
          </cell>
          <cell r="H101">
            <v>0.24752475247524799</v>
          </cell>
          <cell r="I101">
            <v>0.16336633663366301</v>
          </cell>
          <cell r="J101">
            <v>0</v>
          </cell>
          <cell r="K101">
            <v>7.4257425742574297E-3</v>
          </cell>
          <cell r="L101">
            <v>0.24009900990099001</v>
          </cell>
          <cell r="M101">
            <v>0.26732673267326701</v>
          </cell>
          <cell r="N101">
            <v>0.99999999999999978</v>
          </cell>
          <cell r="P101">
            <v>30.000000000000014</v>
          </cell>
          <cell r="Q101">
            <v>100.00000000000018</v>
          </cell>
          <cell r="R101">
            <v>65.999999999999858</v>
          </cell>
          <cell r="S101">
            <v>0</v>
          </cell>
          <cell r="T101">
            <v>3.0000000000000018</v>
          </cell>
          <cell r="U101">
            <v>96.999999999999957</v>
          </cell>
          <cell r="V101">
            <v>107.99999999999987</v>
          </cell>
          <cell r="W101">
            <v>404</v>
          </cell>
          <cell r="Y101">
            <v>18380.820398038697</v>
          </cell>
          <cell r="Z101">
            <v>46637.902502486308</v>
          </cell>
          <cell r="AA101">
            <v>28970.367672132557</v>
          </cell>
          <cell r="AB101">
            <v>0</v>
          </cell>
          <cell r="AC101">
            <v>768.15368827624411</v>
          </cell>
          <cell r="AD101">
            <v>20401.796173146417</v>
          </cell>
          <cell r="AE101">
            <v>115159.04043408022</v>
          </cell>
          <cell r="AG101">
            <v>89190.435861668899</v>
          </cell>
          <cell r="AH101">
            <v>25968.604572411321</v>
          </cell>
          <cell r="AI101">
            <v>0.22550209236309476</v>
          </cell>
        </row>
        <row r="102">
          <cell r="E102">
            <v>2257</v>
          </cell>
          <cell r="F102" t="str">
            <v>Mosborough Primary School</v>
          </cell>
          <cell r="G102">
            <v>0</v>
          </cell>
          <cell r="H102">
            <v>9.5693779904306199E-3</v>
          </cell>
          <cell r="I102">
            <v>2.3923444976076602E-3</v>
          </cell>
          <cell r="J102">
            <v>2.3923444976076602E-3</v>
          </cell>
          <cell r="K102">
            <v>3.82775119617225E-2</v>
          </cell>
          <cell r="L102">
            <v>3.3492822966507199E-2</v>
          </cell>
          <cell r="M102">
            <v>0.91387559808612395</v>
          </cell>
          <cell r="N102">
            <v>0.99999999999999956</v>
          </cell>
          <cell r="P102">
            <v>0</v>
          </cell>
          <cell r="Q102">
            <v>3.9999999999999991</v>
          </cell>
          <cell r="R102">
            <v>1.000000000000002</v>
          </cell>
          <cell r="S102">
            <v>1.000000000000002</v>
          </cell>
          <cell r="T102">
            <v>16.000000000000004</v>
          </cell>
          <cell r="U102">
            <v>14.000000000000009</v>
          </cell>
          <cell r="V102">
            <v>381.99999999999983</v>
          </cell>
          <cell r="W102">
            <v>418</v>
          </cell>
          <cell r="Y102">
            <v>0</v>
          </cell>
          <cell r="Z102">
            <v>1865.5161000994485</v>
          </cell>
          <cell r="AA102">
            <v>438.94496472928296</v>
          </cell>
          <cell r="AB102">
            <v>402.36621766850942</v>
          </cell>
          <cell r="AC102">
            <v>4096.8196708066334</v>
          </cell>
          <cell r="AD102">
            <v>2944.5891383922694</v>
          </cell>
          <cell r="AE102">
            <v>9748.2360916961443</v>
          </cell>
          <cell r="AG102">
            <v>8501.4983597703795</v>
          </cell>
          <cell r="AH102">
            <v>1246.7377319257648</v>
          </cell>
          <cell r="AI102">
            <v>0.12789367432204227</v>
          </cell>
        </row>
        <row r="103">
          <cell r="E103">
            <v>2092</v>
          </cell>
          <cell r="F103" t="str">
            <v>Mundella Primary School</v>
          </cell>
          <cell r="G103">
            <v>1.9230769230769201E-2</v>
          </cell>
          <cell r="H103">
            <v>7.69230769230769E-2</v>
          </cell>
          <cell r="I103">
            <v>2.6442307692307699E-2</v>
          </cell>
          <cell r="J103">
            <v>4.8076923076923097E-3</v>
          </cell>
          <cell r="K103">
            <v>2.4038461538461502E-2</v>
          </cell>
          <cell r="L103">
            <v>1.2019230769230799E-2</v>
          </cell>
          <cell r="M103">
            <v>0.83653846153846201</v>
          </cell>
          <cell r="N103">
            <v>1.0000000000000004</v>
          </cell>
          <cell r="P103">
            <v>7.9999999999999876</v>
          </cell>
          <cell r="Q103">
            <v>31.999999999999989</v>
          </cell>
          <cell r="R103">
            <v>11.000000000000004</v>
          </cell>
          <cell r="S103">
            <v>2.0000000000000009</v>
          </cell>
          <cell r="T103">
            <v>9.999999999999984</v>
          </cell>
          <cell r="U103">
            <v>5.0000000000000124</v>
          </cell>
          <cell r="V103">
            <v>348.00000000000017</v>
          </cell>
          <cell r="W103">
            <v>416</v>
          </cell>
          <cell r="Y103">
            <v>4901.552106143643</v>
          </cell>
          <cell r="Z103">
            <v>14924.128800795586</v>
          </cell>
          <cell r="AA103">
            <v>4828.3946120221044</v>
          </cell>
          <cell r="AB103">
            <v>804.73243533701759</v>
          </cell>
          <cell r="AC103">
            <v>2560.5122942541411</v>
          </cell>
          <cell r="AD103">
            <v>1051.638977997241</v>
          </cell>
          <cell r="AE103">
            <v>29070.959226549734</v>
          </cell>
          <cell r="AG103">
            <v>27378.617622388971</v>
          </cell>
          <cell r="AH103">
            <v>1692.3416041607634</v>
          </cell>
          <cell r="AI103">
            <v>5.8214164554129776E-2</v>
          </cell>
        </row>
        <row r="104">
          <cell r="E104">
            <v>2002</v>
          </cell>
          <cell r="F104" t="str">
            <v>Nether Edge Primary School</v>
          </cell>
          <cell r="G104">
            <v>3.8186157517899798E-2</v>
          </cell>
          <cell r="H104">
            <v>4.0572792362768499E-2</v>
          </cell>
          <cell r="I104">
            <v>1.4319809069212401E-2</v>
          </cell>
          <cell r="J104">
            <v>3.5799522673030999E-2</v>
          </cell>
          <cell r="K104">
            <v>5.0119331742243402E-2</v>
          </cell>
          <cell r="L104">
            <v>0.109785202863962</v>
          </cell>
          <cell r="M104">
            <v>0.71121718377088305</v>
          </cell>
          <cell r="N104">
            <v>1.0000000000000002</v>
          </cell>
          <cell r="P104">
            <v>16.000000000000014</v>
          </cell>
          <cell r="Q104">
            <v>17</v>
          </cell>
          <cell r="R104">
            <v>5.9999999999999956</v>
          </cell>
          <cell r="S104">
            <v>14.999999999999989</v>
          </cell>
          <cell r="T104">
            <v>20.999999999999986</v>
          </cell>
          <cell r="U104">
            <v>46.000000000000078</v>
          </cell>
          <cell r="V104">
            <v>298</v>
          </cell>
          <cell r="W104">
            <v>419</v>
          </cell>
          <cell r="Y104">
            <v>9803.1042122873096</v>
          </cell>
          <cell r="Z104">
            <v>7928.443425422658</v>
          </cell>
          <cell r="AA104">
            <v>2633.6697883756906</v>
          </cell>
          <cell r="AB104">
            <v>6035.4932650276251</v>
          </cell>
          <cell r="AC104">
            <v>5377.0758179337017</v>
          </cell>
          <cell r="AD104">
            <v>9675.0785975746094</v>
          </cell>
          <cell r="AE104">
            <v>41452.865106621597</v>
          </cell>
          <cell r="AG104">
            <v>31705.942484562456</v>
          </cell>
          <cell r="AH104">
            <v>9746.9226220591408</v>
          </cell>
          <cell r="AI104">
            <v>0.23513266446092257</v>
          </cell>
        </row>
        <row r="105">
          <cell r="E105">
            <v>2221</v>
          </cell>
          <cell r="F105" t="str">
            <v>Nether Green Infant School</v>
          </cell>
          <cell r="G105">
            <v>8.9686098654708502E-3</v>
          </cell>
          <cell r="H105">
            <v>1.34529147982063E-2</v>
          </cell>
          <cell r="I105">
            <v>0</v>
          </cell>
          <cell r="J105">
            <v>4.4843049327354303E-3</v>
          </cell>
          <cell r="K105">
            <v>8.9686098654708502E-3</v>
          </cell>
          <cell r="L105">
            <v>0</v>
          </cell>
          <cell r="M105">
            <v>0.96412556053811704</v>
          </cell>
          <cell r="N105">
            <v>1.0000000000000004</v>
          </cell>
          <cell r="P105">
            <v>1.9999999999999996</v>
          </cell>
          <cell r="Q105">
            <v>3.0000000000000049</v>
          </cell>
          <cell r="R105">
            <v>0</v>
          </cell>
          <cell r="S105">
            <v>1.0000000000000009</v>
          </cell>
          <cell r="T105">
            <v>1.9999999999999996</v>
          </cell>
          <cell r="U105">
            <v>0</v>
          </cell>
          <cell r="V105">
            <v>215.00000000000011</v>
          </cell>
          <cell r="W105">
            <v>223</v>
          </cell>
          <cell r="Y105">
            <v>1225.3880265359123</v>
          </cell>
          <cell r="Z105">
            <v>1399.1370750745891</v>
          </cell>
          <cell r="AA105">
            <v>0</v>
          </cell>
          <cell r="AB105">
            <v>402.36621766850897</v>
          </cell>
          <cell r="AC105">
            <v>512.10245885082895</v>
          </cell>
          <cell r="AD105">
            <v>0</v>
          </cell>
          <cell r="AE105">
            <v>3538.993778129839</v>
          </cell>
          <cell r="AG105">
            <v>4733.2674293693635</v>
          </cell>
          <cell r="AH105">
            <v>-1194.2736512395245</v>
          </cell>
          <cell r="AI105">
            <v>-0.3374613593897392</v>
          </cell>
        </row>
        <row r="106">
          <cell r="E106">
            <v>2087</v>
          </cell>
          <cell r="F106" t="str">
            <v>Nether Green Junior School</v>
          </cell>
          <cell r="G106">
            <v>2.6525198938992002E-3</v>
          </cell>
          <cell r="H106">
            <v>1.8567639257294401E-2</v>
          </cell>
          <cell r="I106">
            <v>0</v>
          </cell>
          <cell r="J106">
            <v>1.3262599469495999E-2</v>
          </cell>
          <cell r="K106">
            <v>3.71352785145889E-2</v>
          </cell>
          <cell r="L106">
            <v>7.9575596816976093E-3</v>
          </cell>
          <cell r="M106">
            <v>0.92042440318302399</v>
          </cell>
          <cell r="N106">
            <v>1</v>
          </cell>
          <cell r="P106">
            <v>0.99999999999999845</v>
          </cell>
          <cell r="Q106">
            <v>6.9999999999999893</v>
          </cell>
          <cell r="R106">
            <v>0</v>
          </cell>
          <cell r="S106">
            <v>4.999999999999992</v>
          </cell>
          <cell r="T106">
            <v>14.000000000000016</v>
          </cell>
          <cell r="U106">
            <v>2.9999999999999987</v>
          </cell>
          <cell r="V106">
            <v>347.00000000000006</v>
          </cell>
          <cell r="W106">
            <v>377</v>
          </cell>
          <cell r="Y106">
            <v>612.69401326795537</v>
          </cell>
          <cell r="Z106">
            <v>3264.6531751740308</v>
          </cell>
          <cell r="AA106">
            <v>0</v>
          </cell>
          <cell r="AB106">
            <v>2011.8310883425399</v>
          </cell>
          <cell r="AC106">
            <v>3584.7172119558077</v>
          </cell>
          <cell r="AD106">
            <v>630.98338679834274</v>
          </cell>
          <cell r="AE106">
            <v>10104.878875538678</v>
          </cell>
          <cell r="AG106">
            <v>6882.8457856800269</v>
          </cell>
          <cell r="AH106">
            <v>3222.0330898586508</v>
          </cell>
          <cell r="AI106">
            <v>0.31885915007436333</v>
          </cell>
        </row>
        <row r="107">
          <cell r="E107">
            <v>2272</v>
          </cell>
          <cell r="F107" t="str">
            <v>Netherthorpe Primary School</v>
          </cell>
          <cell r="G107">
            <v>9.2165898617511503E-3</v>
          </cell>
          <cell r="H107">
            <v>0.29953917050691198</v>
          </cell>
          <cell r="I107">
            <v>9.2165898617511503E-3</v>
          </cell>
          <cell r="J107">
            <v>0</v>
          </cell>
          <cell r="K107">
            <v>0.51152073732718895</v>
          </cell>
          <cell r="L107">
            <v>0</v>
          </cell>
          <cell r="M107">
            <v>0.17050691244239599</v>
          </cell>
          <cell r="N107">
            <v>0.99999999999999922</v>
          </cell>
          <cell r="P107">
            <v>1.9999999999999996</v>
          </cell>
          <cell r="Q107">
            <v>64.999999999999901</v>
          </cell>
          <cell r="R107">
            <v>1.9999999999999996</v>
          </cell>
          <cell r="S107">
            <v>0</v>
          </cell>
          <cell r="T107">
            <v>111</v>
          </cell>
          <cell r="U107">
            <v>0</v>
          </cell>
          <cell r="V107">
            <v>36.999999999999929</v>
          </cell>
          <cell r="W107">
            <v>217</v>
          </cell>
          <cell r="Y107">
            <v>1225.3880265359123</v>
          </cell>
          <cell r="Z107">
            <v>30314.636626616</v>
          </cell>
          <cell r="AA107">
            <v>877.88992945856398</v>
          </cell>
          <cell r="AB107">
            <v>0</v>
          </cell>
          <cell r="AC107">
            <v>28421.686466221014</v>
          </cell>
          <cell r="AD107">
            <v>0</v>
          </cell>
          <cell r="AE107">
            <v>60839.601048831493</v>
          </cell>
          <cell r="AG107">
            <v>50622.744052487818</v>
          </cell>
          <cell r="AH107">
            <v>10216.856996343675</v>
          </cell>
          <cell r="AI107">
            <v>0.16793103209443058</v>
          </cell>
        </row>
        <row r="108">
          <cell r="E108">
            <v>2309</v>
          </cell>
          <cell r="F108" t="str">
            <v>Nook Lane Junior School</v>
          </cell>
          <cell r="G108">
            <v>0</v>
          </cell>
          <cell r="H108">
            <v>8.23045267489712E-3</v>
          </cell>
          <cell r="I108">
            <v>4.11522633744856E-3</v>
          </cell>
          <cell r="J108">
            <v>0</v>
          </cell>
          <cell r="K108">
            <v>0.12757201646090499</v>
          </cell>
          <cell r="L108">
            <v>8.23045267489712E-3</v>
          </cell>
          <cell r="M108">
            <v>0.85185185185185197</v>
          </cell>
          <cell r="N108">
            <v>0.99999999999999978</v>
          </cell>
          <cell r="P108">
            <v>0</v>
          </cell>
          <cell r="Q108">
            <v>2</v>
          </cell>
          <cell r="R108">
            <v>1</v>
          </cell>
          <cell r="S108">
            <v>0</v>
          </cell>
          <cell r="T108">
            <v>30.999999999999911</v>
          </cell>
          <cell r="U108">
            <v>2</v>
          </cell>
          <cell r="V108">
            <v>207.00000000000003</v>
          </cell>
          <cell r="W108">
            <v>243</v>
          </cell>
          <cell r="Y108">
            <v>0</v>
          </cell>
          <cell r="Z108">
            <v>932.75805004972449</v>
          </cell>
          <cell r="AA108">
            <v>438.94496472928211</v>
          </cell>
          <cell r="AB108">
            <v>0</v>
          </cell>
          <cell r="AC108">
            <v>7937.5881121878274</v>
          </cell>
          <cell r="AD108">
            <v>420.65559119889537</v>
          </cell>
          <cell r="AE108">
            <v>9729.9467181657292</v>
          </cell>
          <cell r="AG108">
            <v>7209.9555927103684</v>
          </cell>
          <cell r="AH108">
            <v>2519.9911254553608</v>
          </cell>
          <cell r="AI108">
            <v>0.25899331193156055</v>
          </cell>
        </row>
        <row r="109">
          <cell r="E109">
            <v>2051</v>
          </cell>
          <cell r="F109" t="str">
            <v>Norfolk Community Primary School</v>
          </cell>
          <cell r="G109">
            <v>0.171875</v>
          </cell>
          <cell r="H109">
            <v>0.33854166666666702</v>
          </cell>
          <cell r="I109">
            <v>0.23958333333333301</v>
          </cell>
          <cell r="J109">
            <v>0.15364583333333301</v>
          </cell>
          <cell r="K109">
            <v>1.3020833333333299E-2</v>
          </cell>
          <cell r="L109">
            <v>3.3854166666666699E-2</v>
          </cell>
          <cell r="M109">
            <v>4.9479166666666699E-2</v>
          </cell>
          <cell r="N109">
            <v>0.99999999999999978</v>
          </cell>
          <cell r="P109">
            <v>66</v>
          </cell>
          <cell r="Q109">
            <v>130.00000000000014</v>
          </cell>
          <cell r="R109">
            <v>91.999999999999872</v>
          </cell>
          <cell r="S109">
            <v>58.999999999999872</v>
          </cell>
          <cell r="T109">
            <v>4.9999999999999867</v>
          </cell>
          <cell r="U109">
            <v>13.000000000000012</v>
          </cell>
          <cell r="V109">
            <v>19.000000000000014</v>
          </cell>
          <cell r="W109">
            <v>384</v>
          </cell>
          <cell r="Y109">
            <v>40437.804875685113</v>
          </cell>
          <cell r="Z109">
            <v>60629.273253232161</v>
          </cell>
          <cell r="AA109">
            <v>40382.936755093899</v>
          </cell>
          <cell r="AB109">
            <v>23739.606842441957</v>
          </cell>
          <cell r="AC109">
            <v>1280.2561471270692</v>
          </cell>
          <cell r="AD109">
            <v>2734.2613427928227</v>
          </cell>
          <cell r="AE109">
            <v>169204.13921637303</v>
          </cell>
          <cell r="AG109">
            <v>137768.50246756352</v>
          </cell>
          <cell r="AH109">
            <v>31435.636748809513</v>
          </cell>
          <cell r="AI109">
            <v>0.18578527035092557</v>
          </cell>
        </row>
        <row r="110">
          <cell r="E110">
            <v>3010</v>
          </cell>
          <cell r="F110" t="str">
            <v>Norton Free Church of England Primary School</v>
          </cell>
          <cell r="G110">
            <v>3.7558685446009397E-2</v>
          </cell>
          <cell r="H110">
            <v>0.17370892018779299</v>
          </cell>
          <cell r="I110">
            <v>9.3896713615023494E-3</v>
          </cell>
          <cell r="J110">
            <v>0</v>
          </cell>
          <cell r="K110">
            <v>9.3896713615023494E-3</v>
          </cell>
          <cell r="L110">
            <v>0</v>
          </cell>
          <cell r="M110">
            <v>0.76995305164319305</v>
          </cell>
          <cell r="N110">
            <v>1.0000000000000002</v>
          </cell>
          <cell r="P110">
            <v>8.0000000000000018</v>
          </cell>
          <cell r="Q110">
            <v>36.999999999999908</v>
          </cell>
          <cell r="R110">
            <v>2.0000000000000004</v>
          </cell>
          <cell r="S110">
            <v>0</v>
          </cell>
          <cell r="T110">
            <v>2.0000000000000004</v>
          </cell>
          <cell r="U110">
            <v>0</v>
          </cell>
          <cell r="V110">
            <v>164.00000000000011</v>
          </cell>
          <cell r="W110">
            <v>213</v>
          </cell>
          <cell r="Y110">
            <v>4901.5521061436511</v>
          </cell>
          <cell r="Z110">
            <v>17256.023925919861</v>
          </cell>
          <cell r="AA110">
            <v>877.88992945856444</v>
          </cell>
          <cell r="AB110">
            <v>0</v>
          </cell>
          <cell r="AC110">
            <v>512.10245885082918</v>
          </cell>
          <cell r="AD110">
            <v>0</v>
          </cell>
          <cell r="AE110">
            <v>23547.568420372907</v>
          </cell>
          <cell r="AG110">
            <v>19748.84069611465</v>
          </cell>
          <cell r="AH110">
            <v>3798.7277242582568</v>
          </cell>
          <cell r="AI110">
            <v>0.16132144332030776</v>
          </cell>
        </row>
        <row r="111">
          <cell r="E111">
            <v>2018</v>
          </cell>
          <cell r="F111" t="str">
            <v>Oasis Academy Fir Vale</v>
          </cell>
          <cell r="G111">
            <v>2.9484029484029499E-2</v>
          </cell>
          <cell r="H111">
            <v>7.3710073710073695E-2</v>
          </cell>
          <cell r="I111">
            <v>0.68796068796068799</v>
          </cell>
          <cell r="J111">
            <v>2.45700245700246E-3</v>
          </cell>
          <cell r="K111">
            <v>5.8968058968058998E-2</v>
          </cell>
          <cell r="L111">
            <v>0.132678132678133</v>
          </cell>
          <cell r="M111">
            <v>1.4742014742014699E-2</v>
          </cell>
          <cell r="N111">
            <v>1.0000000000000002</v>
          </cell>
          <cell r="P111">
            <v>12.000000000000005</v>
          </cell>
          <cell r="Q111">
            <v>29.999999999999993</v>
          </cell>
          <cell r="R111">
            <v>280</v>
          </cell>
          <cell r="S111">
            <v>1.0000000000000011</v>
          </cell>
          <cell r="T111">
            <v>24.000000000000011</v>
          </cell>
          <cell r="U111">
            <v>54.000000000000128</v>
          </cell>
          <cell r="V111">
            <v>5.9999999999999822</v>
          </cell>
          <cell r="W111">
            <v>407</v>
          </cell>
          <cell r="Y111">
            <v>7352.328159215479</v>
          </cell>
          <cell r="Z111">
            <v>13991.370750745864</v>
          </cell>
          <cell r="AA111">
            <v>122904.59012419899</v>
          </cell>
          <cell r="AB111">
            <v>402.36621766850908</v>
          </cell>
          <cell r="AC111">
            <v>6145.229506209952</v>
          </cell>
          <cell r="AD111">
            <v>11357.700962370202</v>
          </cell>
          <cell r="AE111">
            <v>162153.585720409</v>
          </cell>
          <cell r="AG111">
            <v>131864.3617985626</v>
          </cell>
          <cell r="AH111">
            <v>30289.223921846395</v>
          </cell>
          <cell r="AI111">
            <v>0.18679342665953841</v>
          </cell>
        </row>
        <row r="112">
          <cell r="E112">
            <v>2019</v>
          </cell>
          <cell r="F112" t="str">
            <v>Oasis Academy Watermead</v>
          </cell>
          <cell r="G112">
            <v>0.28947368421052599</v>
          </cell>
          <cell r="H112">
            <v>0.28684210526315801</v>
          </cell>
          <cell r="I112">
            <v>0.31842105263157899</v>
          </cell>
          <cell r="J112">
            <v>5.2631578947368403E-3</v>
          </cell>
          <cell r="K112">
            <v>0.05</v>
          </cell>
          <cell r="L112">
            <v>3.1578947368421102E-2</v>
          </cell>
          <cell r="M112">
            <v>1.8421052631578901E-2</v>
          </cell>
          <cell r="N112">
            <v>1</v>
          </cell>
          <cell r="P112">
            <v>109.99999999999987</v>
          </cell>
          <cell r="Q112">
            <v>109.00000000000004</v>
          </cell>
          <cell r="R112">
            <v>121.00000000000001</v>
          </cell>
          <cell r="S112">
            <v>1.9999999999999993</v>
          </cell>
          <cell r="T112">
            <v>19</v>
          </cell>
          <cell r="U112">
            <v>12.00000000000002</v>
          </cell>
          <cell r="V112">
            <v>6.9999999999999822</v>
          </cell>
          <cell r="W112">
            <v>380</v>
          </cell>
          <cell r="Y112">
            <v>67396.341459475108</v>
          </cell>
          <cell r="Z112">
            <v>50835.313727710003</v>
          </cell>
          <cell r="AA112">
            <v>53112.340732243138</v>
          </cell>
          <cell r="AB112">
            <v>804.73243533701702</v>
          </cell>
          <cell r="AC112">
            <v>4864.9733590828764</v>
          </cell>
          <cell r="AD112">
            <v>2523.9335471933764</v>
          </cell>
          <cell r="AE112">
            <v>179537.63526104152</v>
          </cell>
          <cell r="AG112">
            <v>140182.55433180041</v>
          </cell>
          <cell r="AH112">
            <v>39355.080929241114</v>
          </cell>
          <cell r="AI112">
            <v>0.21920240217055431</v>
          </cell>
        </row>
        <row r="113">
          <cell r="E113">
            <v>2313</v>
          </cell>
          <cell r="F113" t="str">
            <v>Oughtibridge Primary School</v>
          </cell>
          <cell r="G113">
            <v>2.3980815347721799E-3</v>
          </cell>
          <cell r="H113">
            <v>4.7961630695443598E-3</v>
          </cell>
          <cell r="I113">
            <v>9.5923261390887301E-3</v>
          </cell>
          <cell r="J113">
            <v>0</v>
          </cell>
          <cell r="K113">
            <v>9.5923261390887301E-3</v>
          </cell>
          <cell r="L113">
            <v>5.2757793764988001E-2</v>
          </cell>
          <cell r="M113">
            <v>0.92086330935251803</v>
          </cell>
          <cell r="N113">
            <v>1</v>
          </cell>
          <cell r="P113">
            <v>0.999999999999999</v>
          </cell>
          <cell r="Q113">
            <v>1.999999999999998</v>
          </cell>
          <cell r="R113">
            <v>4.0000000000000009</v>
          </cell>
          <cell r="S113">
            <v>0</v>
          </cell>
          <cell r="T113">
            <v>4.0000000000000009</v>
          </cell>
          <cell r="U113">
            <v>21.999999999999996</v>
          </cell>
          <cell r="V113">
            <v>384</v>
          </cell>
          <cell r="W113">
            <v>417</v>
          </cell>
          <cell r="Y113">
            <v>612.69401326795571</v>
          </cell>
          <cell r="Z113">
            <v>932.75805004972358</v>
          </cell>
          <cell r="AA113">
            <v>1755.7798589171289</v>
          </cell>
          <cell r="AB113">
            <v>0</v>
          </cell>
          <cell r="AC113">
            <v>1024.2049177016584</v>
          </cell>
          <cell r="AD113">
            <v>4627.2115031878484</v>
          </cell>
          <cell r="AE113">
            <v>8952.6483431243141</v>
          </cell>
          <cell r="AG113">
            <v>5630.1640902948166</v>
          </cell>
          <cell r="AH113">
            <v>3322.4842528294976</v>
          </cell>
          <cell r="AI113">
            <v>0.37111747557706593</v>
          </cell>
        </row>
        <row r="114">
          <cell r="E114">
            <v>2093</v>
          </cell>
          <cell r="F114" t="str">
            <v>Owler Brook Primary School</v>
          </cell>
          <cell r="G114">
            <v>3.7499999999999999E-2</v>
          </cell>
          <cell r="H114">
            <v>5.5E-2</v>
          </cell>
          <cell r="I114">
            <v>0.82499999999999996</v>
          </cell>
          <cell r="J114">
            <v>2.5000000000000001E-3</v>
          </cell>
          <cell r="K114">
            <v>0.04</v>
          </cell>
          <cell r="L114">
            <v>1.7500000000000002E-2</v>
          </cell>
          <cell r="M114">
            <v>2.2499999999999999E-2</v>
          </cell>
          <cell r="N114">
            <v>0.99999999999999989</v>
          </cell>
          <cell r="P114">
            <v>15</v>
          </cell>
          <cell r="Q114">
            <v>22</v>
          </cell>
          <cell r="R114">
            <v>330</v>
          </cell>
          <cell r="S114">
            <v>1</v>
          </cell>
          <cell r="T114">
            <v>16</v>
          </cell>
          <cell r="U114">
            <v>7.0000000000000009</v>
          </cell>
          <cell r="V114">
            <v>9</v>
          </cell>
          <cell r="W114">
            <v>400</v>
          </cell>
          <cell r="Y114">
            <v>9190.4101990193449</v>
          </cell>
          <cell r="Z114">
            <v>10260.338550546969</v>
          </cell>
          <cell r="AA114">
            <v>144851.8383606631</v>
          </cell>
          <cell r="AB114">
            <v>402.36621766850863</v>
          </cell>
          <cell r="AC114">
            <v>4096.8196708066325</v>
          </cell>
          <cell r="AD114">
            <v>1472.294569196134</v>
          </cell>
          <cell r="AE114">
            <v>170274.0675679007</v>
          </cell>
          <cell r="AG114">
            <v>132619.22786038494</v>
          </cell>
          <cell r="AH114">
            <v>37654.839707515755</v>
          </cell>
          <cell r="AI114">
            <v>0.2211425394680257</v>
          </cell>
        </row>
        <row r="115">
          <cell r="E115">
            <v>3428</v>
          </cell>
          <cell r="F115" t="str">
            <v>Parson Cross Church of England Primary School</v>
          </cell>
          <cell r="G115">
            <v>0.216748768472906</v>
          </cell>
          <cell r="H115">
            <v>0.28571428571428598</v>
          </cell>
          <cell r="I115">
            <v>0.108374384236453</v>
          </cell>
          <cell r="J115">
            <v>0</v>
          </cell>
          <cell r="K115">
            <v>0.167487684729064</v>
          </cell>
          <cell r="L115">
            <v>1.9704433497536901E-2</v>
          </cell>
          <cell r="M115">
            <v>0.201970443349754</v>
          </cell>
          <cell r="N115">
            <v>0.99999999999999978</v>
          </cell>
          <cell r="P115">
            <v>43.999999999999915</v>
          </cell>
          <cell r="Q115">
            <v>58.00000000000005</v>
          </cell>
          <cell r="R115">
            <v>21.999999999999957</v>
          </cell>
          <cell r="S115">
            <v>0</v>
          </cell>
          <cell r="T115">
            <v>33.999999999999993</v>
          </cell>
          <cell r="U115">
            <v>3.9999999999999907</v>
          </cell>
          <cell r="V115">
            <v>41.000000000000064</v>
          </cell>
          <cell r="W115">
            <v>203</v>
          </cell>
          <cell r="Y115">
            <v>26958.536583790024</v>
          </cell>
          <cell r="Z115">
            <v>27049.983451442033</v>
          </cell>
          <cell r="AA115">
            <v>9656.789224044187</v>
          </cell>
          <cell r="AB115">
            <v>0</v>
          </cell>
          <cell r="AC115">
            <v>8705.7418004640931</v>
          </cell>
          <cell r="AD115">
            <v>841.3111823977888</v>
          </cell>
          <cell r="AE115">
            <v>73212.36224213813</v>
          </cell>
          <cell r="AG115">
            <v>59277.99731577334</v>
          </cell>
          <cell r="AH115">
            <v>13934.364926364789</v>
          </cell>
          <cell r="AI115">
            <v>0.19032803340341778</v>
          </cell>
        </row>
        <row r="116">
          <cell r="E116">
            <v>2332</v>
          </cell>
          <cell r="F116" t="str">
            <v>Phillimore Community Primary School</v>
          </cell>
          <cell r="G116">
            <v>5.1679586563307496E-3</v>
          </cell>
          <cell r="H116">
            <v>0.77002583979328199</v>
          </cell>
          <cell r="I116">
            <v>1.29198966408269E-2</v>
          </cell>
          <cell r="J116">
            <v>0.14987080103359199</v>
          </cell>
          <cell r="K116">
            <v>3.35917312661499E-2</v>
          </cell>
          <cell r="L116">
            <v>2.58397932816537E-3</v>
          </cell>
          <cell r="M116">
            <v>2.58397932816537E-2</v>
          </cell>
          <cell r="N116">
            <v>1.0000000000000007</v>
          </cell>
          <cell r="P116">
            <v>2.0051679586563309</v>
          </cell>
          <cell r="Q116">
            <v>298.77002583979339</v>
          </cell>
          <cell r="R116">
            <v>5.0129198966408373</v>
          </cell>
          <cell r="S116">
            <v>58.149870801033693</v>
          </cell>
          <cell r="T116">
            <v>13.033591731266162</v>
          </cell>
          <cell r="U116">
            <v>1.0025839793281635</v>
          </cell>
          <cell r="V116">
            <v>10.025839793281635</v>
          </cell>
          <cell r="W116">
            <v>388</v>
          </cell>
          <cell r="Y116">
            <v>1228.5544038654627</v>
          </cell>
          <cell r="Z116">
            <v>139340.07335781574</v>
          </cell>
          <cell r="AA116">
            <v>2200.3959472217289</v>
          </cell>
          <cell r="AB116">
            <v>23397.543572124378</v>
          </cell>
          <cell r="AC116">
            <v>3337.2671866196179</v>
          </cell>
          <cell r="AD116">
            <v>210.87127827541485</v>
          </cell>
          <cell r="AE116">
            <v>169714.70574592237</v>
          </cell>
          <cell r="AG116">
            <v>148467.23296857227</v>
          </cell>
          <cell r="AH116">
            <v>21247.472777350107</v>
          </cell>
          <cell r="AI116">
            <v>0.12519523681795386</v>
          </cell>
        </row>
        <row r="117">
          <cell r="E117">
            <v>3433</v>
          </cell>
          <cell r="F117" t="str">
            <v>Pipworth Community Primary School</v>
          </cell>
          <cell r="G117">
            <v>0.42385786802030501</v>
          </cell>
          <cell r="H117">
            <v>0.32994923857868003</v>
          </cell>
          <cell r="I117">
            <v>1.26903553299492E-2</v>
          </cell>
          <cell r="J117">
            <v>0.104060913705584</v>
          </cell>
          <cell r="K117">
            <v>7.6142131979695396E-2</v>
          </cell>
          <cell r="L117">
            <v>1.26903553299492E-2</v>
          </cell>
          <cell r="M117">
            <v>4.0609137055837602E-2</v>
          </cell>
          <cell r="N117">
            <v>1.0000000000000007</v>
          </cell>
          <cell r="P117">
            <v>167.00000000000017</v>
          </cell>
          <cell r="Q117">
            <v>129.99999999999994</v>
          </cell>
          <cell r="R117">
            <v>4.9999999999999849</v>
          </cell>
          <cell r="S117">
            <v>41.000000000000092</v>
          </cell>
          <cell r="T117">
            <v>29.999999999999986</v>
          </cell>
          <cell r="U117">
            <v>4.9999999999999849</v>
          </cell>
          <cell r="V117">
            <v>16.000000000000014</v>
          </cell>
          <cell r="W117">
            <v>394</v>
          </cell>
          <cell r="Y117">
            <v>102319.9002157488</v>
          </cell>
          <cell r="Z117">
            <v>60629.273253232066</v>
          </cell>
          <cell r="AA117">
            <v>2194.7248236464038</v>
          </cell>
          <cell r="AB117">
            <v>16497.01492440889</v>
          </cell>
          <cell r="AC117">
            <v>7681.5368827624325</v>
          </cell>
          <cell r="AD117">
            <v>1051.6389779972353</v>
          </cell>
          <cell r="AE117">
            <v>190374.08907779583</v>
          </cell>
          <cell r="AG117">
            <v>161485.093608208</v>
          </cell>
          <cell r="AH117">
            <v>28888.995469587826</v>
          </cell>
          <cell r="AI117">
            <v>0.151748568355762</v>
          </cell>
        </row>
        <row r="118">
          <cell r="E118">
            <v>3427</v>
          </cell>
          <cell r="F118" t="str">
            <v>Porter Croft Church of England Primary Academy</v>
          </cell>
          <cell r="G118">
            <v>1.86915887850467E-2</v>
          </cell>
          <cell r="H118">
            <v>0.43925233644859801</v>
          </cell>
          <cell r="I118">
            <v>2.80373831775701E-2</v>
          </cell>
          <cell r="J118">
            <v>0.121495327102804</v>
          </cell>
          <cell r="K118">
            <v>0.14953271028037399</v>
          </cell>
          <cell r="L118">
            <v>1.4018691588785E-2</v>
          </cell>
          <cell r="M118">
            <v>0.22897196261682201</v>
          </cell>
          <cell r="N118">
            <v>0.99999999999999978</v>
          </cell>
          <cell r="P118">
            <v>3.9999999999999938</v>
          </cell>
          <cell r="Q118">
            <v>93.999999999999972</v>
          </cell>
          <cell r="R118">
            <v>6.0000000000000018</v>
          </cell>
          <cell r="S118">
            <v>26.000000000000057</v>
          </cell>
          <cell r="T118">
            <v>32.000000000000036</v>
          </cell>
          <cell r="U118">
            <v>2.9999999999999898</v>
          </cell>
          <cell r="V118">
            <v>48.999999999999908</v>
          </cell>
          <cell r="W118">
            <v>214</v>
          </cell>
          <cell r="Y118">
            <v>2450.7760530718215</v>
          </cell>
          <cell r="Z118">
            <v>43839.628352337037</v>
          </cell>
          <cell r="AA118">
            <v>2633.6697883756933</v>
          </cell>
          <cell r="AB118">
            <v>10461.521659381247</v>
          </cell>
          <cell r="AC118">
            <v>8193.6393416132742</v>
          </cell>
          <cell r="AD118">
            <v>630.98338679834092</v>
          </cell>
          <cell r="AE118">
            <v>68210.218581577414</v>
          </cell>
          <cell r="AG118">
            <v>55380.776092470609</v>
          </cell>
          <cell r="AH118">
            <v>12829.442489106805</v>
          </cell>
          <cell r="AI118">
            <v>0.18808681097778876</v>
          </cell>
        </row>
        <row r="119">
          <cell r="E119">
            <v>2347</v>
          </cell>
          <cell r="F119" t="str">
            <v>Prince Edward Primary School</v>
          </cell>
          <cell r="G119">
            <v>0.302955665024631</v>
          </cell>
          <cell r="H119">
            <v>0.58128078817733997</v>
          </cell>
          <cell r="I119">
            <v>4.92610837438424E-3</v>
          </cell>
          <cell r="J119">
            <v>4.1871921182266E-2</v>
          </cell>
          <cell r="K119">
            <v>2.4630541871921201E-2</v>
          </cell>
          <cell r="L119">
            <v>9.8522167487684695E-3</v>
          </cell>
          <cell r="M119">
            <v>3.4482758620689703E-2</v>
          </cell>
          <cell r="N119">
            <v>1.0000000000000004</v>
          </cell>
          <cell r="P119">
            <v>123.30295566502483</v>
          </cell>
          <cell r="Q119">
            <v>236.58128078817737</v>
          </cell>
          <cell r="R119">
            <v>2.0049261083743857</v>
          </cell>
          <cell r="S119">
            <v>17.041871921182263</v>
          </cell>
          <cell r="T119">
            <v>10.024630541871929</v>
          </cell>
          <cell r="U119">
            <v>4.0098522167487669</v>
          </cell>
          <cell r="V119">
            <v>14.03448275862071</v>
          </cell>
          <cell r="W119">
            <v>407</v>
          </cell>
          <cell r="Y119">
            <v>75546.982754204946</v>
          </cell>
          <cell r="Z119">
            <v>110336.54707312334</v>
          </cell>
          <cell r="AA119">
            <v>880.0522199252116</v>
          </cell>
          <cell r="AB119">
            <v>6857.0735469172678</v>
          </cell>
          <cell r="AC119">
            <v>2566.8189747818669</v>
          </cell>
          <cell r="AD119">
            <v>843.38337742832687</v>
          </cell>
          <cell r="AE119">
            <v>197030.85794638097</v>
          </cell>
          <cell r="AG119">
            <v>162132.91676120722</v>
          </cell>
          <cell r="AH119">
            <v>34897.941185173753</v>
          </cell>
          <cell r="AI119">
            <v>0.17711916574342235</v>
          </cell>
        </row>
        <row r="120">
          <cell r="E120">
            <v>2366</v>
          </cell>
          <cell r="F120" t="str">
            <v>Pye Bank CofE Primary School</v>
          </cell>
          <cell r="G120">
            <v>1.6587677725118499E-2</v>
          </cell>
          <cell r="H120">
            <v>0.38625592417061599</v>
          </cell>
          <cell r="I120">
            <v>0.535545023696682</v>
          </cell>
          <cell r="J120">
            <v>1.8957345971564E-2</v>
          </cell>
          <cell r="K120">
            <v>2.1327014218009501E-2</v>
          </cell>
          <cell r="L120">
            <v>0</v>
          </cell>
          <cell r="M120">
            <v>2.1327014218009501E-2</v>
          </cell>
          <cell r="N120">
            <v>0.99999999999999956</v>
          </cell>
          <cell r="P120">
            <v>7.0165876777251253</v>
          </cell>
          <cell r="Q120">
            <v>163.38625592417057</v>
          </cell>
          <cell r="R120">
            <v>226.53554502369647</v>
          </cell>
          <cell r="S120">
            <v>8.0189573459715717</v>
          </cell>
          <cell r="T120">
            <v>9.0213270142180182</v>
          </cell>
          <cell r="U120">
            <v>0</v>
          </cell>
          <cell r="V120">
            <v>9.0213270142180182</v>
          </cell>
          <cell r="W120">
            <v>423</v>
          </cell>
          <cell r="Y120">
            <v>4299.0212637118966</v>
          </cell>
          <cell r="Z120">
            <v>76199.922740377297</v>
          </cell>
          <cell r="AA120">
            <v>99436.636820355139</v>
          </cell>
          <cell r="AB120">
            <v>3226.5575369436838</v>
          </cell>
          <cell r="AC120">
            <v>2309.9218730392276</v>
          </cell>
          <cell r="AD120">
            <v>0</v>
          </cell>
          <cell r="AE120">
            <v>185472.06023442722</v>
          </cell>
          <cell r="AG120">
            <v>137702.87324633676</v>
          </cell>
          <cell r="AH120">
            <v>47769.186988090456</v>
          </cell>
          <cell r="AI120">
            <v>0.2575546253581949</v>
          </cell>
        </row>
        <row r="121">
          <cell r="E121">
            <v>2363</v>
          </cell>
          <cell r="F121" t="str">
            <v>Rainbow Forge Primary Academy</v>
          </cell>
          <cell r="G121">
            <v>1.68350168350168E-2</v>
          </cell>
          <cell r="H121">
            <v>7.0707070707070704E-2</v>
          </cell>
          <cell r="I121">
            <v>0.15488215488215501</v>
          </cell>
          <cell r="J121">
            <v>0.114478114478114</v>
          </cell>
          <cell r="K121">
            <v>1.01010101010101E-2</v>
          </cell>
          <cell r="L121">
            <v>0.31986531986532002</v>
          </cell>
          <cell r="M121">
            <v>0.31313131313131298</v>
          </cell>
          <cell r="N121">
            <v>0.99999999999999956</v>
          </cell>
          <cell r="P121">
            <v>4.9999999999999893</v>
          </cell>
          <cell r="Q121">
            <v>21</v>
          </cell>
          <cell r="R121">
            <v>46.000000000000036</v>
          </cell>
          <cell r="S121">
            <v>33.999999999999858</v>
          </cell>
          <cell r="T121">
            <v>2.9999999999999996</v>
          </cell>
          <cell r="U121">
            <v>95.000000000000043</v>
          </cell>
          <cell r="V121">
            <v>92.999999999999957</v>
          </cell>
          <cell r="W121">
            <v>297</v>
          </cell>
          <cell r="Y121">
            <v>3063.4700663397748</v>
          </cell>
          <cell r="Z121">
            <v>9793.9595255221066</v>
          </cell>
          <cell r="AA121">
            <v>20191.468377546993</v>
          </cell>
          <cell r="AB121">
            <v>13680.451400729236</v>
          </cell>
          <cell r="AC121">
            <v>768.15368827624343</v>
          </cell>
          <cell r="AD121">
            <v>19981.14058194754</v>
          </cell>
          <cell r="AE121">
            <v>67478.643640361901</v>
          </cell>
          <cell r="AG121">
            <v>53237.280041466642</v>
          </cell>
          <cell r="AH121">
            <v>14241.363598895259</v>
          </cell>
          <cell r="AI121">
            <v>0.21104993862646171</v>
          </cell>
        </row>
        <row r="122">
          <cell r="E122">
            <v>2334</v>
          </cell>
          <cell r="F122" t="str">
            <v>Reignhead Primary School</v>
          </cell>
          <cell r="G122">
            <v>1.2295081967213101E-2</v>
          </cell>
          <cell r="H122">
            <v>1.2295081967213101E-2</v>
          </cell>
          <cell r="I122">
            <v>2.0491803278688499E-2</v>
          </cell>
          <cell r="J122">
            <v>8.1967213114754103E-3</v>
          </cell>
          <cell r="K122">
            <v>2.0491803278688499E-2</v>
          </cell>
          <cell r="L122">
            <v>0.63114754098360704</v>
          </cell>
          <cell r="M122">
            <v>0.29508196721311503</v>
          </cell>
          <cell r="N122">
            <v>1.0000000000000007</v>
          </cell>
          <cell r="P122">
            <v>2.9999999999999964</v>
          </cell>
          <cell r="Q122">
            <v>2.9999999999999964</v>
          </cell>
          <cell r="R122">
            <v>4.9999999999999938</v>
          </cell>
          <cell r="S122">
            <v>2</v>
          </cell>
          <cell r="T122">
            <v>4.9999999999999938</v>
          </cell>
          <cell r="U122">
            <v>154.00000000000011</v>
          </cell>
          <cell r="V122">
            <v>72.000000000000071</v>
          </cell>
          <cell r="W122">
            <v>244</v>
          </cell>
          <cell r="Y122">
            <v>1838.0820398038666</v>
          </cell>
          <cell r="Z122">
            <v>1399.137075074585</v>
          </cell>
          <cell r="AA122">
            <v>2194.7248236464079</v>
          </cell>
          <cell r="AB122">
            <v>804.73243533701725</v>
          </cell>
          <cell r="AC122">
            <v>1280.256147127071</v>
          </cell>
          <cell r="AD122">
            <v>32390.480522314967</v>
          </cell>
          <cell r="AE122">
            <v>39907.41304330391</v>
          </cell>
          <cell r="AG122">
            <v>35282.23266720293</v>
          </cell>
          <cell r="AH122">
            <v>4625.1803761009796</v>
          </cell>
          <cell r="AI122">
            <v>0.11589777495930775</v>
          </cell>
        </row>
        <row r="123">
          <cell r="E123">
            <v>2338</v>
          </cell>
          <cell r="F123" t="str">
            <v>Rivelin Primary School</v>
          </cell>
          <cell r="G123">
            <v>1.7094017094017099E-2</v>
          </cell>
          <cell r="H123">
            <v>5.6980056980057002E-2</v>
          </cell>
          <cell r="I123">
            <v>1.7094017094017099E-2</v>
          </cell>
          <cell r="J123">
            <v>3.7037037037037E-2</v>
          </cell>
          <cell r="K123">
            <v>7.69230769230769E-2</v>
          </cell>
          <cell r="L123">
            <v>0.145299145299145</v>
          </cell>
          <cell r="M123">
            <v>0.64957264957265004</v>
          </cell>
          <cell r="N123">
            <v>1</v>
          </cell>
          <cell r="P123">
            <v>6.0000000000000018</v>
          </cell>
          <cell r="Q123">
            <v>20.000000000000007</v>
          </cell>
          <cell r="R123">
            <v>6.0000000000000018</v>
          </cell>
          <cell r="S123">
            <v>12.999999999999988</v>
          </cell>
          <cell r="T123">
            <v>26.999999999999993</v>
          </cell>
          <cell r="U123">
            <v>50.999999999999893</v>
          </cell>
          <cell r="V123">
            <v>228.00000000000017</v>
          </cell>
          <cell r="W123">
            <v>351</v>
          </cell>
          <cell r="Y123">
            <v>3676.1640796077386</v>
          </cell>
          <cell r="Z123">
            <v>9327.5805004972481</v>
          </cell>
          <cell r="AA123">
            <v>2633.6697883756933</v>
          </cell>
          <cell r="AB123">
            <v>5230.7608296906074</v>
          </cell>
          <cell r="AC123">
            <v>6913.3831944861904</v>
          </cell>
          <cell r="AD123">
            <v>10726.717575571809</v>
          </cell>
          <cell r="AE123">
            <v>38508.275968229282</v>
          </cell>
          <cell r="AG123">
            <v>26207.761609292047</v>
          </cell>
          <cell r="AH123">
            <v>12300.514358937235</v>
          </cell>
          <cell r="AI123">
            <v>0.31942521574026328</v>
          </cell>
        </row>
        <row r="124">
          <cell r="E124">
            <v>2306</v>
          </cell>
          <cell r="F124" t="str">
            <v>Royd Nursery and Infant School</v>
          </cell>
          <cell r="G124">
            <v>0</v>
          </cell>
          <cell r="H124">
            <v>2.4590163934426201E-2</v>
          </cell>
          <cell r="I124">
            <v>0</v>
          </cell>
          <cell r="J124">
            <v>4.91803278688525E-2</v>
          </cell>
          <cell r="K124">
            <v>0</v>
          </cell>
          <cell r="L124">
            <v>0.22950819672131101</v>
          </cell>
          <cell r="M124">
            <v>0.69672131147541005</v>
          </cell>
          <cell r="N124">
            <v>0.99999999999999978</v>
          </cell>
          <cell r="P124">
            <v>0</v>
          </cell>
          <cell r="Q124">
            <v>2.9999999999999964</v>
          </cell>
          <cell r="R124">
            <v>0</v>
          </cell>
          <cell r="S124">
            <v>6.0000000000000053</v>
          </cell>
          <cell r="T124">
            <v>0</v>
          </cell>
          <cell r="U124">
            <v>27.999999999999943</v>
          </cell>
          <cell r="V124">
            <v>85.000000000000028</v>
          </cell>
          <cell r="W124">
            <v>122</v>
          </cell>
          <cell r="Y124">
            <v>0</v>
          </cell>
          <cell r="Z124">
            <v>1399.137075074585</v>
          </cell>
          <cell r="AA124">
            <v>0</v>
          </cell>
          <cell r="AB124">
            <v>2414.197306011054</v>
          </cell>
          <cell r="AC124">
            <v>0</v>
          </cell>
          <cell r="AD124">
            <v>5889.1782767845234</v>
          </cell>
          <cell r="AE124">
            <v>9702.512657870162</v>
          </cell>
          <cell r="AG124">
            <v>8376.1045279300288</v>
          </cell>
          <cell r="AH124">
            <v>1326.4081299401332</v>
          </cell>
          <cell r="AI124">
            <v>0.13670769384301926</v>
          </cell>
        </row>
        <row r="125">
          <cell r="E125">
            <v>3401</v>
          </cell>
          <cell r="F125" t="str">
            <v>Sacred Heart School, A Catholic Voluntary Academy</v>
          </cell>
          <cell r="G125">
            <v>0.02</v>
          </cell>
          <cell r="H125">
            <v>0.06</v>
          </cell>
          <cell r="I125">
            <v>0.04</v>
          </cell>
          <cell r="J125">
            <v>3.5000000000000003E-2</v>
          </cell>
          <cell r="K125">
            <v>0.13</v>
          </cell>
          <cell r="L125">
            <v>0.11</v>
          </cell>
          <cell r="M125">
            <v>0.60499999999999998</v>
          </cell>
          <cell r="N125">
            <v>1</v>
          </cell>
          <cell r="P125">
            <v>4</v>
          </cell>
          <cell r="Q125">
            <v>12</v>
          </cell>
          <cell r="R125">
            <v>8</v>
          </cell>
          <cell r="S125">
            <v>7.0000000000000009</v>
          </cell>
          <cell r="T125">
            <v>26</v>
          </cell>
          <cell r="U125">
            <v>22</v>
          </cell>
          <cell r="V125">
            <v>121</v>
          </cell>
          <cell r="W125">
            <v>200</v>
          </cell>
          <cell r="Y125">
            <v>2450.7760530718251</v>
          </cell>
          <cell r="Z125">
            <v>5596.5483002983474</v>
          </cell>
          <cell r="AA125">
            <v>3511.5597178342568</v>
          </cell>
          <cell r="AB125">
            <v>2816.5635236795606</v>
          </cell>
          <cell r="AC125">
            <v>6657.3319650607782</v>
          </cell>
          <cell r="AD125">
            <v>4627.2115031878493</v>
          </cell>
          <cell r="AE125">
            <v>25659.991063132617</v>
          </cell>
          <cell r="AG125">
            <v>19809.884073096153</v>
          </cell>
          <cell r="AH125">
            <v>5850.1069900364637</v>
          </cell>
          <cell r="AI125">
            <v>0.22798554277135716</v>
          </cell>
        </row>
        <row r="126">
          <cell r="E126">
            <v>2369</v>
          </cell>
          <cell r="F126" t="str">
            <v>Sharrow Nursery, Infant and Junior School</v>
          </cell>
          <cell r="G126">
            <v>1.67865707434053E-2</v>
          </cell>
          <cell r="H126">
            <v>0.23501199040767401</v>
          </cell>
          <cell r="I126">
            <v>3.35731414868106E-2</v>
          </cell>
          <cell r="J126">
            <v>6.4748201438848907E-2</v>
          </cell>
          <cell r="K126">
            <v>0.17266187050359699</v>
          </cell>
          <cell r="L126">
            <v>0.15587529976019199</v>
          </cell>
          <cell r="M126">
            <v>0.32134292565947198</v>
          </cell>
          <cell r="N126">
            <v>0.99999999999999978</v>
          </cell>
          <cell r="P126">
            <v>7.0000000000000098</v>
          </cell>
          <cell r="Q126">
            <v>98.000000000000057</v>
          </cell>
          <cell r="R126">
            <v>14.00000000000002</v>
          </cell>
          <cell r="S126">
            <v>26.999999999999993</v>
          </cell>
          <cell r="T126">
            <v>71.999999999999943</v>
          </cell>
          <cell r="U126">
            <v>65.000000000000057</v>
          </cell>
          <cell r="V126">
            <v>133.9999999999998</v>
          </cell>
          <cell r="W126">
            <v>417</v>
          </cell>
          <cell r="Y126">
            <v>4288.8580928757001</v>
          </cell>
          <cell r="Z126">
            <v>45705.144452436529</v>
          </cell>
          <cell r="AA126">
            <v>6145.2295062099583</v>
          </cell>
          <cell r="AB126">
            <v>10863.88787704973</v>
          </cell>
          <cell r="AC126">
            <v>18435.688518629831</v>
          </cell>
          <cell r="AD126">
            <v>13671.306713964112</v>
          </cell>
          <cell r="AE126">
            <v>99110.115161165857</v>
          </cell>
          <cell r="AG126">
            <v>79769.665613543591</v>
          </cell>
          <cell r="AH126">
            <v>19340.449547622266</v>
          </cell>
          <cell r="AI126">
            <v>0.19514102587987306</v>
          </cell>
        </row>
        <row r="127">
          <cell r="E127">
            <v>2349</v>
          </cell>
          <cell r="F127" t="str">
            <v>Shooter's Grove Primary School</v>
          </cell>
          <cell r="G127">
            <v>2.2284122562674102E-2</v>
          </cell>
          <cell r="H127">
            <v>1.9498607242339799E-2</v>
          </cell>
          <cell r="I127">
            <v>8.3565459610027894E-3</v>
          </cell>
          <cell r="J127">
            <v>0</v>
          </cell>
          <cell r="K127">
            <v>0.38440111420612799</v>
          </cell>
          <cell r="L127">
            <v>1.9498607242339799E-2</v>
          </cell>
          <cell r="M127">
            <v>0.54596100278551496</v>
          </cell>
          <cell r="N127">
            <v>0.99999999999999944</v>
          </cell>
          <cell r="P127">
            <v>8.0000000000000018</v>
          </cell>
          <cell r="Q127">
            <v>6.9999999999999876</v>
          </cell>
          <cell r="R127">
            <v>3.0000000000000013</v>
          </cell>
          <cell r="S127">
            <v>0</v>
          </cell>
          <cell r="T127">
            <v>137.99999999999994</v>
          </cell>
          <cell r="U127">
            <v>6.9999999999999876</v>
          </cell>
          <cell r="V127">
            <v>195.99999999999986</v>
          </cell>
          <cell r="W127">
            <v>359</v>
          </cell>
          <cell r="Y127">
            <v>4901.5521061436511</v>
          </cell>
          <cell r="Z127">
            <v>3264.6531751740299</v>
          </cell>
          <cell r="AA127">
            <v>1316.8348941878469</v>
          </cell>
          <cell r="AB127">
            <v>0</v>
          </cell>
          <cell r="AC127">
            <v>35335.069660707188</v>
          </cell>
          <cell r="AD127">
            <v>1472.2945691961311</v>
          </cell>
          <cell r="AE127">
            <v>46290.404405408844</v>
          </cell>
          <cell r="AG127">
            <v>39778.54428333939</v>
          </cell>
          <cell r="AH127">
            <v>6511.8601220694545</v>
          </cell>
          <cell r="AI127">
            <v>0.14067408150162045</v>
          </cell>
        </row>
        <row r="128">
          <cell r="E128">
            <v>2360</v>
          </cell>
          <cell r="F128" t="str">
            <v>Shortbrook Primary School</v>
          </cell>
          <cell r="G128">
            <v>0</v>
          </cell>
          <cell r="H128">
            <v>0.35714285714285698</v>
          </cell>
          <cell r="I128">
            <v>0</v>
          </cell>
          <cell r="J128">
            <v>0</v>
          </cell>
          <cell r="K128">
            <v>3.5714285714285698E-2</v>
          </cell>
          <cell r="L128">
            <v>0.38095238095238099</v>
          </cell>
          <cell r="M128">
            <v>0.226190476190476</v>
          </cell>
          <cell r="N128">
            <v>0.99999999999999978</v>
          </cell>
          <cell r="P128">
            <v>0</v>
          </cell>
          <cell r="Q128">
            <v>29.999999999999986</v>
          </cell>
          <cell r="R128">
            <v>0</v>
          </cell>
          <cell r="S128">
            <v>0</v>
          </cell>
          <cell r="T128">
            <v>2.9999999999999987</v>
          </cell>
          <cell r="U128">
            <v>32</v>
          </cell>
          <cell r="V128">
            <v>18.999999999999982</v>
          </cell>
          <cell r="W128">
            <v>84</v>
          </cell>
          <cell r="Y128">
            <v>0</v>
          </cell>
          <cell r="Z128">
            <v>13991.37075074586</v>
          </cell>
          <cell r="AA128">
            <v>0</v>
          </cell>
          <cell r="AB128">
            <v>0</v>
          </cell>
          <cell r="AC128">
            <v>768.1536882762432</v>
          </cell>
          <cell r="AD128">
            <v>6730.4894591823258</v>
          </cell>
          <cell r="AE128">
            <v>21490.01389820443</v>
          </cell>
          <cell r="AG128">
            <v>20888.317942843525</v>
          </cell>
          <cell r="AH128">
            <v>601.69595536090492</v>
          </cell>
          <cell r="AI128">
            <v>2.7998863016611582E-2</v>
          </cell>
        </row>
        <row r="129">
          <cell r="E129">
            <v>2009</v>
          </cell>
          <cell r="F129" t="str">
            <v>Southey Green Primary School and Nurseries</v>
          </cell>
          <cell r="G129">
            <v>0.37643207855973798</v>
          </cell>
          <cell r="H129">
            <v>0.49263502454991798</v>
          </cell>
          <cell r="I129">
            <v>7.2013093289688995E-2</v>
          </cell>
          <cell r="J129">
            <v>0</v>
          </cell>
          <cell r="K129">
            <v>3.27332242225859E-3</v>
          </cell>
          <cell r="L129">
            <v>1.4729950900163701E-2</v>
          </cell>
          <cell r="M129">
            <v>4.0916530278232402E-2</v>
          </cell>
          <cell r="N129">
            <v>0.99999999999999967</v>
          </cell>
          <cell r="P129">
            <v>229.99999999999991</v>
          </cell>
          <cell r="Q129">
            <v>300.99999999999989</v>
          </cell>
          <cell r="R129">
            <v>43.999999999999979</v>
          </cell>
          <cell r="S129">
            <v>0</v>
          </cell>
          <cell r="T129">
            <v>1.9999999999999984</v>
          </cell>
          <cell r="U129">
            <v>9.0000000000000213</v>
          </cell>
          <cell r="V129">
            <v>24.999999999999996</v>
          </cell>
          <cell r="W129">
            <v>611</v>
          </cell>
          <cell r="Y129">
            <v>140919.6230516299</v>
          </cell>
          <cell r="Z129">
            <v>140380.08653248349</v>
          </cell>
          <cell r="AA129">
            <v>19313.578448088403</v>
          </cell>
          <cell r="AB129">
            <v>0</v>
          </cell>
          <cell r="AC129">
            <v>512.10245885082861</v>
          </cell>
          <cell r="AD129">
            <v>1892.9501603950337</v>
          </cell>
          <cell r="AE129">
            <v>303018.34065144765</v>
          </cell>
          <cell r="AG129">
            <v>241111.28572394667</v>
          </cell>
          <cell r="AH129">
            <v>61907.054927500983</v>
          </cell>
          <cell r="AI129">
            <v>0.20430134623009732</v>
          </cell>
        </row>
        <row r="130">
          <cell r="E130">
            <v>2329</v>
          </cell>
          <cell r="F130" t="str">
            <v>Springfield Primary School</v>
          </cell>
          <cell r="G130">
            <v>0</v>
          </cell>
          <cell r="H130">
            <v>0.16346153846153799</v>
          </cell>
          <cell r="I130">
            <v>1.44230769230769E-2</v>
          </cell>
          <cell r="J130">
            <v>4.80769230769231E-2</v>
          </cell>
          <cell r="K130">
            <v>0.418269230769231</v>
          </cell>
          <cell r="L130">
            <v>4.8076923076923097E-3</v>
          </cell>
          <cell r="M130">
            <v>0.35096153846153799</v>
          </cell>
          <cell r="N130">
            <v>0.99999999999999922</v>
          </cell>
          <cell r="P130">
            <v>0</v>
          </cell>
          <cell r="Q130">
            <v>33.999999999999901</v>
          </cell>
          <cell r="R130">
            <v>2.9999999999999951</v>
          </cell>
          <cell r="S130">
            <v>10.000000000000005</v>
          </cell>
          <cell r="T130">
            <v>87.000000000000043</v>
          </cell>
          <cell r="U130">
            <v>1.0000000000000004</v>
          </cell>
          <cell r="V130">
            <v>72.999999999999901</v>
          </cell>
          <cell r="W130">
            <v>208</v>
          </cell>
          <cell r="Y130">
            <v>0</v>
          </cell>
          <cell r="Z130">
            <v>15856.886850845271</v>
          </cell>
          <cell r="AA130">
            <v>1316.8348941878442</v>
          </cell>
          <cell r="AB130">
            <v>4023.6621766850885</v>
          </cell>
          <cell r="AC130">
            <v>22276.456960011074</v>
          </cell>
          <cell r="AD130">
            <v>210.32779559944777</v>
          </cell>
          <cell r="AE130">
            <v>43684.168677328729</v>
          </cell>
          <cell r="AG130">
            <v>35691.192929092111</v>
          </cell>
          <cell r="AH130">
            <v>7992.9757482366185</v>
          </cell>
          <cell r="AI130">
            <v>0.18297190928082888</v>
          </cell>
        </row>
        <row r="131">
          <cell r="E131">
            <v>5202</v>
          </cell>
          <cell r="F131" t="str">
            <v>St Ann's Catholic Primary School, A Voluntary Academy</v>
          </cell>
          <cell r="G131">
            <v>4.0404040404040401E-2</v>
          </cell>
          <cell r="H131">
            <v>2.02020202020202E-2</v>
          </cell>
          <cell r="I131">
            <v>1.01010101010101E-2</v>
          </cell>
          <cell r="J131">
            <v>0.23232323232323199</v>
          </cell>
          <cell r="K131">
            <v>0</v>
          </cell>
          <cell r="L131">
            <v>0.10101010101010099</v>
          </cell>
          <cell r="M131">
            <v>0.59595959595959602</v>
          </cell>
          <cell r="N131">
            <v>0.99999999999999978</v>
          </cell>
          <cell r="P131">
            <v>3.9999999999999996</v>
          </cell>
          <cell r="Q131">
            <v>1.9999999999999998</v>
          </cell>
          <cell r="R131">
            <v>0.99999999999999989</v>
          </cell>
          <cell r="S131">
            <v>22.999999999999968</v>
          </cell>
          <cell r="T131">
            <v>0</v>
          </cell>
          <cell r="U131">
            <v>9.9999999999999982</v>
          </cell>
          <cell r="V131">
            <v>59.000000000000007</v>
          </cell>
          <cell r="W131">
            <v>99</v>
          </cell>
          <cell r="Y131">
            <v>2450.7760530718247</v>
          </cell>
          <cell r="Z131">
            <v>932.75805004972437</v>
          </cell>
          <cell r="AA131">
            <v>438.94496472928205</v>
          </cell>
          <cell r="AB131">
            <v>9254.4230063756859</v>
          </cell>
          <cell r="AC131">
            <v>0</v>
          </cell>
          <cell r="AD131">
            <v>2103.2779559944765</v>
          </cell>
          <cell r="AE131">
            <v>15180.180030220992</v>
          </cell>
          <cell r="AG131">
            <v>12510.306337036207</v>
          </cell>
          <cell r="AH131">
            <v>2669.8736931847852</v>
          </cell>
          <cell r="AI131">
            <v>0.17587892158522164</v>
          </cell>
        </row>
        <row r="132">
          <cell r="E132">
            <v>3402</v>
          </cell>
          <cell r="F132" t="str">
            <v>St Catherine's Catholic Primary School (Hallam)</v>
          </cell>
          <cell r="G132">
            <v>9.7387173396674603E-2</v>
          </cell>
          <cell r="H132">
            <v>0.24465558194774301</v>
          </cell>
          <cell r="I132">
            <v>0.22802850356294499</v>
          </cell>
          <cell r="J132">
            <v>7.3634204275534396E-2</v>
          </cell>
          <cell r="K132">
            <v>0.25653206650831401</v>
          </cell>
          <cell r="L132">
            <v>3.0878859857482201E-2</v>
          </cell>
          <cell r="M132">
            <v>6.8883610451306407E-2</v>
          </cell>
          <cell r="N132">
            <v>0.99999999999999967</v>
          </cell>
          <cell r="P132">
            <v>41.000000000000007</v>
          </cell>
          <cell r="Q132">
            <v>102.9999999999998</v>
          </cell>
          <cell r="R132">
            <v>95.999999999999844</v>
          </cell>
          <cell r="S132">
            <v>30.999999999999982</v>
          </cell>
          <cell r="T132">
            <v>108.0000000000002</v>
          </cell>
          <cell r="U132">
            <v>13.000000000000007</v>
          </cell>
          <cell r="V132">
            <v>28.999999999999996</v>
          </cell>
          <cell r="W132">
            <v>421</v>
          </cell>
          <cell r="Y132">
            <v>25120.454543986212</v>
          </cell>
          <cell r="Z132">
            <v>48037.039577560718</v>
          </cell>
          <cell r="AA132">
            <v>42138.716614011013</v>
          </cell>
          <cell r="AB132">
            <v>12473.35274772376</v>
          </cell>
          <cell r="AC132">
            <v>27653.53277794482</v>
          </cell>
          <cell r="AD132">
            <v>2734.2613427928213</v>
          </cell>
          <cell r="AE132">
            <v>158157.35760401937</v>
          </cell>
          <cell r="AG132">
            <v>128069.88702302141</v>
          </cell>
          <cell r="AH132">
            <v>30087.470580997964</v>
          </cell>
          <cell r="AI132">
            <v>0.19023756489614826</v>
          </cell>
        </row>
        <row r="133">
          <cell r="E133">
            <v>2017</v>
          </cell>
          <cell r="F133" t="str">
            <v>St John Fisher Primary, A Catholic Voluntary Academy</v>
          </cell>
          <cell r="G133">
            <v>1.9230769230769201E-2</v>
          </cell>
          <cell r="H133">
            <v>5.2884615384615398E-2</v>
          </cell>
          <cell r="I133">
            <v>7.2115384615384595E-2</v>
          </cell>
          <cell r="J133">
            <v>0.12980769230769201</v>
          </cell>
          <cell r="K133">
            <v>4.3269230769230803E-2</v>
          </cell>
          <cell r="L133">
            <v>0.115384615384615</v>
          </cell>
          <cell r="M133">
            <v>0.56730769230769196</v>
          </cell>
          <cell r="N133">
            <v>0.999999999999999</v>
          </cell>
          <cell r="P133">
            <v>3.9999999999999938</v>
          </cell>
          <cell r="Q133">
            <v>11.000000000000004</v>
          </cell>
          <cell r="R133">
            <v>14.999999999999996</v>
          </cell>
          <cell r="S133">
            <v>26.99999999999994</v>
          </cell>
          <cell r="T133">
            <v>9.0000000000000071</v>
          </cell>
          <cell r="U133">
            <v>23.999999999999922</v>
          </cell>
          <cell r="V133">
            <v>117.99999999999993</v>
          </cell>
          <cell r="W133">
            <v>208</v>
          </cell>
          <cell r="Y133">
            <v>2450.7760530718215</v>
          </cell>
          <cell r="Z133">
            <v>5130.1692752734862</v>
          </cell>
          <cell r="AA133">
            <v>6584.1744709392296</v>
          </cell>
          <cell r="AB133">
            <v>10863.887877049709</v>
          </cell>
          <cell r="AC133">
            <v>2304.4610648287326</v>
          </cell>
          <cell r="AD133">
            <v>5047.8670943867282</v>
          </cell>
          <cell r="AE133">
            <v>32381.335835549708</v>
          </cell>
          <cell r="AG133">
            <v>27715.309734726037</v>
          </cell>
          <cell r="AH133">
            <v>4666.0261008236703</v>
          </cell>
          <cell r="AI133">
            <v>0.14409615849452059</v>
          </cell>
        </row>
        <row r="134">
          <cell r="E134">
            <v>5203</v>
          </cell>
          <cell r="F134" t="str">
            <v>St Joseph's Primary School</v>
          </cell>
          <cell r="G134">
            <v>2.41545893719807E-2</v>
          </cell>
          <cell r="H134">
            <v>7.2463768115942004E-2</v>
          </cell>
          <cell r="I134">
            <v>0.106280193236715</v>
          </cell>
          <cell r="J134">
            <v>6.7632850241545903E-2</v>
          </cell>
          <cell r="K134">
            <v>7.7294685990338202E-2</v>
          </cell>
          <cell r="L134">
            <v>0.13043478260869601</v>
          </cell>
          <cell r="M134">
            <v>0.52173913043478304</v>
          </cell>
          <cell r="N134">
            <v>1.0000000000000009</v>
          </cell>
          <cell r="P134">
            <v>5.0000000000000053</v>
          </cell>
          <cell r="Q134">
            <v>14.999999999999995</v>
          </cell>
          <cell r="R134">
            <v>22.000000000000007</v>
          </cell>
          <cell r="S134">
            <v>14.000000000000002</v>
          </cell>
          <cell r="T134">
            <v>16.000000000000007</v>
          </cell>
          <cell r="U134">
            <v>27.000000000000075</v>
          </cell>
          <cell r="V134">
            <v>108.00000000000009</v>
          </cell>
          <cell r="W134">
            <v>207</v>
          </cell>
          <cell r="Y134">
            <v>3063.4700663397848</v>
          </cell>
          <cell r="Z134">
            <v>6995.685375372931</v>
          </cell>
          <cell r="AA134">
            <v>9656.7892240442088</v>
          </cell>
          <cell r="AB134">
            <v>5633.1270473591212</v>
          </cell>
          <cell r="AC134">
            <v>4096.8196708066343</v>
          </cell>
          <cell r="AD134">
            <v>5678.8504811851035</v>
          </cell>
          <cell r="AE134">
            <v>35124.741865107782</v>
          </cell>
          <cell r="AG134">
            <v>27132.633497646901</v>
          </cell>
          <cell r="AH134">
            <v>7992.1083674608817</v>
          </cell>
          <cell r="AI134">
            <v>0.22753500646790753</v>
          </cell>
        </row>
        <row r="135">
          <cell r="E135">
            <v>3406</v>
          </cell>
          <cell r="F135" t="str">
            <v>St Marie's School, A Catholic Voluntary Academy</v>
          </cell>
          <cell r="G135">
            <v>2.3148148148148098E-2</v>
          </cell>
          <cell r="H135">
            <v>6.4814814814814797E-2</v>
          </cell>
          <cell r="I135">
            <v>2.3148148148148098E-2</v>
          </cell>
          <cell r="J135">
            <v>5.5555555555555601E-2</v>
          </cell>
          <cell r="K135">
            <v>3.7037037037037E-2</v>
          </cell>
          <cell r="L135">
            <v>2.3148148148148098E-2</v>
          </cell>
          <cell r="M135">
            <v>0.77314814814814803</v>
          </cell>
          <cell r="N135">
            <v>0.99999999999999978</v>
          </cell>
          <cell r="P135">
            <v>4.9999999999999893</v>
          </cell>
          <cell r="Q135">
            <v>13.999999999999996</v>
          </cell>
          <cell r="R135">
            <v>4.9999999999999893</v>
          </cell>
          <cell r="S135">
            <v>12.000000000000011</v>
          </cell>
          <cell r="T135">
            <v>7.999999999999992</v>
          </cell>
          <cell r="U135">
            <v>4.9999999999999893</v>
          </cell>
          <cell r="V135">
            <v>166.99999999999997</v>
          </cell>
          <cell r="W135">
            <v>216</v>
          </cell>
          <cell r="Y135">
            <v>3063.4700663397748</v>
          </cell>
          <cell r="Z135">
            <v>6529.3063503480698</v>
          </cell>
          <cell r="AA135">
            <v>2194.7248236464056</v>
          </cell>
          <cell r="AB135">
            <v>4828.394612022108</v>
          </cell>
          <cell r="AC135">
            <v>2048.409835403314</v>
          </cell>
          <cell r="AD135">
            <v>1051.6389779972362</v>
          </cell>
          <cell r="AE135">
            <v>19715.944665756906</v>
          </cell>
          <cell r="AG135">
            <v>14885.786512782222</v>
          </cell>
          <cell r="AH135">
            <v>4830.1581529746836</v>
          </cell>
          <cell r="AI135">
            <v>0.24498740663255211</v>
          </cell>
        </row>
        <row r="136">
          <cell r="E136">
            <v>2020</v>
          </cell>
          <cell r="F136" t="str">
            <v>St Mary's Church of England Primary School</v>
          </cell>
          <cell r="G136">
            <v>0.01</v>
          </cell>
          <cell r="H136">
            <v>7.4999999999999997E-2</v>
          </cell>
          <cell r="I136">
            <v>0.04</v>
          </cell>
          <cell r="J136">
            <v>0.12</v>
          </cell>
          <cell r="K136">
            <v>0.36</v>
          </cell>
          <cell r="L136">
            <v>0.01</v>
          </cell>
          <cell r="M136">
            <v>0.38500000000000001</v>
          </cell>
          <cell r="N136">
            <v>1</v>
          </cell>
          <cell r="P136">
            <v>2.04</v>
          </cell>
          <cell r="Q136">
            <v>15.299999999999999</v>
          </cell>
          <cell r="R136">
            <v>8.16</v>
          </cell>
          <cell r="S136">
            <v>24.48</v>
          </cell>
          <cell r="T136">
            <v>73.44</v>
          </cell>
          <cell r="U136">
            <v>2.04</v>
          </cell>
          <cell r="V136">
            <v>78.540000000000006</v>
          </cell>
          <cell r="W136">
            <v>204</v>
          </cell>
          <cell r="Y136">
            <v>1249.8957870666309</v>
          </cell>
          <cell r="Z136">
            <v>7135.5990828803915</v>
          </cell>
          <cell r="AA136">
            <v>3581.790912190942</v>
          </cell>
          <cell r="AB136">
            <v>9849.9250085250915</v>
          </cell>
          <cell r="AC136">
            <v>18804.402289002443</v>
          </cell>
          <cell r="AD136">
            <v>429.06870302287331</v>
          </cell>
          <cell r="AE136">
            <v>41050.681782688371</v>
          </cell>
          <cell r="AG136">
            <v>32575.274534874461</v>
          </cell>
          <cell r="AH136">
            <v>8475.4072478139096</v>
          </cell>
          <cell r="AI136">
            <v>0.20646203375331282</v>
          </cell>
        </row>
        <row r="137">
          <cell r="E137">
            <v>3423</v>
          </cell>
          <cell r="F137" t="str">
            <v>St Mary's Primary School, A Catholic Voluntary Academy</v>
          </cell>
          <cell r="G137">
            <v>1.13636363636364E-2</v>
          </cell>
          <cell r="H137">
            <v>0.17613636363636401</v>
          </cell>
          <cell r="I137">
            <v>5.6818181818181802E-3</v>
          </cell>
          <cell r="J137">
            <v>5.6818181818181802E-3</v>
          </cell>
          <cell r="K137">
            <v>7.3863636363636395E-2</v>
          </cell>
          <cell r="L137">
            <v>1.13636363636364E-2</v>
          </cell>
          <cell r="M137">
            <v>0.71590909090909105</v>
          </cell>
          <cell r="N137">
            <v>1.0000000000000007</v>
          </cell>
          <cell r="P137">
            <v>2.0000000000000067</v>
          </cell>
          <cell r="Q137">
            <v>31.000000000000064</v>
          </cell>
          <cell r="R137">
            <v>0.99999999999999978</v>
          </cell>
          <cell r="S137">
            <v>0.99999999999999978</v>
          </cell>
          <cell r="T137">
            <v>13.000000000000005</v>
          </cell>
          <cell r="U137">
            <v>2.0000000000000067</v>
          </cell>
          <cell r="V137">
            <v>126.00000000000003</v>
          </cell>
          <cell r="W137">
            <v>176</v>
          </cell>
          <cell r="Y137">
            <v>1225.3880265359167</v>
          </cell>
          <cell r="Z137">
            <v>14457.749775770759</v>
          </cell>
          <cell r="AA137">
            <v>438.94496472928199</v>
          </cell>
          <cell r="AB137">
            <v>402.36621766850851</v>
          </cell>
          <cell r="AC137">
            <v>3328.6659825303905</v>
          </cell>
          <cell r="AD137">
            <v>420.65559119889679</v>
          </cell>
          <cell r="AE137">
            <v>20273.770558433756</v>
          </cell>
          <cell r="AG137">
            <v>17960.140296386424</v>
          </cell>
          <cell r="AH137">
            <v>2313.6302620473325</v>
          </cell>
          <cell r="AI137">
            <v>0.11411938669123772</v>
          </cell>
        </row>
        <row r="138">
          <cell r="E138">
            <v>5207</v>
          </cell>
          <cell r="F138" t="str">
            <v>St Patrick's Catholic Voluntary Academy</v>
          </cell>
          <cell r="G138">
            <v>0.13978494623655899</v>
          </cell>
          <cell r="H138">
            <v>0.44444444444444398</v>
          </cell>
          <cell r="I138">
            <v>0.19354838709677399</v>
          </cell>
          <cell r="J138">
            <v>0</v>
          </cell>
          <cell r="K138">
            <v>4.3010752688171998E-2</v>
          </cell>
          <cell r="L138">
            <v>1.4336917562724E-2</v>
          </cell>
          <cell r="M138">
            <v>0.164874551971326</v>
          </cell>
          <cell r="N138">
            <v>0.99999999999999911</v>
          </cell>
          <cell r="P138">
            <v>38.999999999999957</v>
          </cell>
          <cell r="Q138">
            <v>123.99999999999987</v>
          </cell>
          <cell r="R138">
            <v>53.999999999999943</v>
          </cell>
          <cell r="S138">
            <v>0</v>
          </cell>
          <cell r="T138">
            <v>11.999999999999988</v>
          </cell>
          <cell r="U138">
            <v>3.999999999999996</v>
          </cell>
          <cell r="V138">
            <v>45.999999999999957</v>
          </cell>
          <cell r="W138">
            <v>279</v>
          </cell>
          <cell r="Y138">
            <v>23895.066517450268</v>
          </cell>
          <cell r="Z138">
            <v>57830.999103082861</v>
          </cell>
          <cell r="AA138">
            <v>23703.028095381207</v>
          </cell>
          <cell r="AB138">
            <v>0</v>
          </cell>
          <cell r="AC138">
            <v>3072.614753104971</v>
          </cell>
          <cell r="AD138">
            <v>841.31118239778993</v>
          </cell>
          <cell r="AE138">
            <v>109343.0196514171</v>
          </cell>
          <cell r="AG138">
            <v>90734.86629240957</v>
          </cell>
          <cell r="AH138">
            <v>18608.153359007527</v>
          </cell>
          <cell r="AI138">
            <v>0.17018144750647887</v>
          </cell>
        </row>
        <row r="139">
          <cell r="E139">
            <v>5208</v>
          </cell>
          <cell r="F139" t="str">
            <v>St Theresa's Catholic Primary School</v>
          </cell>
          <cell r="G139">
            <v>0.241545893719807</v>
          </cell>
          <cell r="H139">
            <v>0.42028985507246402</v>
          </cell>
          <cell r="I139">
            <v>3.3816425120772903E-2</v>
          </cell>
          <cell r="J139">
            <v>0.14492753623188401</v>
          </cell>
          <cell r="K139">
            <v>4.8309178743961401E-2</v>
          </cell>
          <cell r="L139">
            <v>4.8309178743961401E-2</v>
          </cell>
          <cell r="M139">
            <v>6.2801932367149801E-2</v>
          </cell>
          <cell r="N139">
            <v>1.0000000000000004</v>
          </cell>
          <cell r="P139">
            <v>50.00000000000005</v>
          </cell>
          <cell r="Q139">
            <v>87.000000000000057</v>
          </cell>
          <cell r="R139">
            <v>6.9999999999999911</v>
          </cell>
          <cell r="S139">
            <v>29.999999999999989</v>
          </cell>
          <cell r="T139">
            <v>10.000000000000011</v>
          </cell>
          <cell r="U139">
            <v>10.000000000000011</v>
          </cell>
          <cell r="V139">
            <v>13.000000000000009</v>
          </cell>
          <cell r="W139">
            <v>207</v>
          </cell>
          <cell r="Y139">
            <v>30634.700663397845</v>
          </cell>
          <cell r="Z139">
            <v>40574.97517716304</v>
          </cell>
          <cell r="AA139">
            <v>3072.614753104971</v>
          </cell>
          <cell r="AB139">
            <v>12070.986530055254</v>
          </cell>
          <cell r="AC139">
            <v>2560.5122942541479</v>
          </cell>
          <cell r="AD139">
            <v>2103.2779559944793</v>
          </cell>
          <cell r="AE139">
            <v>91017.067373969723</v>
          </cell>
          <cell r="AG139">
            <v>72647.932164182886</v>
          </cell>
          <cell r="AH139">
            <v>18369.135209786837</v>
          </cell>
          <cell r="AI139">
            <v>0.20182077647384503</v>
          </cell>
        </row>
        <row r="140">
          <cell r="E140">
            <v>3424</v>
          </cell>
          <cell r="F140" t="str">
            <v>St Thomas More Catholic Primary, A Voluntary Academy</v>
          </cell>
          <cell r="G140">
            <v>0.110576923076923</v>
          </cell>
          <cell r="H140">
            <v>0.25480769230769201</v>
          </cell>
          <cell r="I140">
            <v>9.6153846153846201E-2</v>
          </cell>
          <cell r="J140">
            <v>0</v>
          </cell>
          <cell r="K140">
            <v>2.8846153846153799E-2</v>
          </cell>
          <cell r="L140">
            <v>0.18269230769230799</v>
          </cell>
          <cell r="M140">
            <v>0.32692307692307698</v>
          </cell>
          <cell r="N140">
            <v>1</v>
          </cell>
          <cell r="P140">
            <v>22.999999999999986</v>
          </cell>
          <cell r="Q140">
            <v>52.999999999999936</v>
          </cell>
          <cell r="R140">
            <v>20.000000000000011</v>
          </cell>
          <cell r="S140">
            <v>0</v>
          </cell>
          <cell r="T140">
            <v>5.9999999999999902</v>
          </cell>
          <cell r="U140">
            <v>38.000000000000064</v>
          </cell>
          <cell r="V140">
            <v>68.000000000000014</v>
          </cell>
          <cell r="W140">
            <v>208</v>
          </cell>
          <cell r="Y140">
            <v>14091.962305162986</v>
          </cell>
          <cell r="Z140">
            <v>24718.088326317669</v>
          </cell>
          <cell r="AA140">
            <v>8778.8992945856462</v>
          </cell>
          <cell r="AB140">
            <v>0</v>
          </cell>
          <cell r="AC140">
            <v>1536.3073765524846</v>
          </cell>
          <cell r="AD140">
            <v>7992.4562327790254</v>
          </cell>
          <cell r="AE140">
            <v>57117.713535397808</v>
          </cell>
          <cell r="AG140">
            <v>47413.799975981841</v>
          </cell>
          <cell r="AH140">
            <v>9703.913559415967</v>
          </cell>
          <cell r="AI140">
            <v>0.16989324254728996</v>
          </cell>
        </row>
        <row r="141">
          <cell r="E141">
            <v>3414</v>
          </cell>
          <cell r="F141" t="str">
            <v>St Thomas of Canterbury School, a Catholic Voluntary Academy</v>
          </cell>
          <cell r="G141">
            <v>3.8095238095238099E-2</v>
          </cell>
          <cell r="H141">
            <v>6.19047619047619E-2</v>
          </cell>
          <cell r="I141">
            <v>3.8095238095238099E-2</v>
          </cell>
          <cell r="J141">
            <v>6.19047619047619E-2</v>
          </cell>
          <cell r="K141">
            <v>2.8571428571428598E-2</v>
          </cell>
          <cell r="L141">
            <v>4.2857142857142899E-2</v>
          </cell>
          <cell r="M141">
            <v>0.72857142857142898</v>
          </cell>
          <cell r="N141">
            <v>1.0000000000000004</v>
          </cell>
          <cell r="P141">
            <v>8</v>
          </cell>
          <cell r="Q141">
            <v>12.999999999999998</v>
          </cell>
          <cell r="R141">
            <v>8</v>
          </cell>
          <cell r="S141">
            <v>12.999999999999998</v>
          </cell>
          <cell r="T141">
            <v>6.0000000000000053</v>
          </cell>
          <cell r="U141">
            <v>9.0000000000000089</v>
          </cell>
          <cell r="V141">
            <v>153.00000000000009</v>
          </cell>
          <cell r="W141">
            <v>210</v>
          </cell>
          <cell r="Y141">
            <v>4901.5521061436502</v>
          </cell>
          <cell r="Z141">
            <v>6062.9273253232086</v>
          </cell>
          <cell r="AA141">
            <v>3511.5597178342568</v>
          </cell>
          <cell r="AB141">
            <v>5230.760829690611</v>
          </cell>
          <cell r="AC141">
            <v>1536.3073765524887</v>
          </cell>
          <cell r="AD141">
            <v>1892.9501603950309</v>
          </cell>
          <cell r="AE141">
            <v>23136.057515939247</v>
          </cell>
          <cell r="AG141">
            <v>19184.943225403556</v>
          </cell>
          <cell r="AH141">
            <v>3951.1142905356901</v>
          </cell>
          <cell r="AI141">
            <v>0.17077733696908506</v>
          </cell>
        </row>
        <row r="142">
          <cell r="E142">
            <v>3412</v>
          </cell>
          <cell r="F142" t="str">
            <v>St Wilfrid's Catholic Primary School</v>
          </cell>
          <cell r="G142">
            <v>3.03030303030303E-2</v>
          </cell>
          <cell r="H142">
            <v>2.02020202020202E-2</v>
          </cell>
          <cell r="I142">
            <v>1.01010101010101E-2</v>
          </cell>
          <cell r="J142">
            <v>1.68350168350168E-2</v>
          </cell>
          <cell r="K142">
            <v>1.68350168350168E-2</v>
          </cell>
          <cell r="L142">
            <v>2.3569023569023601E-2</v>
          </cell>
          <cell r="M142">
            <v>0.88215488215488203</v>
          </cell>
          <cell r="N142">
            <v>0.99999999999999978</v>
          </cell>
          <cell r="P142">
            <v>9</v>
          </cell>
          <cell r="Q142">
            <v>5.9999999999999991</v>
          </cell>
          <cell r="R142">
            <v>2.9999999999999996</v>
          </cell>
          <cell r="S142">
            <v>4.9999999999999893</v>
          </cell>
          <cell r="T142">
            <v>4.9999999999999893</v>
          </cell>
          <cell r="U142">
            <v>7.0000000000000098</v>
          </cell>
          <cell r="V142">
            <v>261.99999999999994</v>
          </cell>
          <cell r="W142">
            <v>297</v>
          </cell>
          <cell r="Y142">
            <v>5514.2461194116067</v>
          </cell>
          <cell r="Z142">
            <v>2798.2741501491732</v>
          </cell>
          <cell r="AA142">
            <v>1316.8348941878462</v>
          </cell>
          <cell r="AB142">
            <v>2011.8310883425388</v>
          </cell>
          <cell r="AC142">
            <v>1280.2561471270699</v>
          </cell>
          <cell r="AD142">
            <v>1472.2945691961359</v>
          </cell>
          <cell r="AE142">
            <v>14393.73696841437</v>
          </cell>
          <cell r="AG142">
            <v>8800.0294004326752</v>
          </cell>
          <cell r="AH142">
            <v>5593.7075679816953</v>
          </cell>
          <cell r="AI142">
            <v>0.3886209384162384</v>
          </cell>
        </row>
        <row r="143">
          <cell r="E143">
            <v>2294</v>
          </cell>
          <cell r="F143" t="str">
            <v>Stannington Infant School</v>
          </cell>
          <cell r="G143">
            <v>0</v>
          </cell>
          <cell r="H143">
            <v>5.5248618784530402E-3</v>
          </cell>
          <cell r="I143">
            <v>5.5248618784530402E-3</v>
          </cell>
          <cell r="J143">
            <v>0</v>
          </cell>
          <cell r="K143">
            <v>0.10497237569060799</v>
          </cell>
          <cell r="L143">
            <v>0</v>
          </cell>
          <cell r="M143">
            <v>0.88397790055248604</v>
          </cell>
          <cell r="N143">
            <v>1</v>
          </cell>
          <cell r="P143">
            <v>0</v>
          </cell>
          <cell r="Q143">
            <v>1.0000000000000002</v>
          </cell>
          <cell r="R143">
            <v>1.0000000000000002</v>
          </cell>
          <cell r="S143">
            <v>0</v>
          </cell>
          <cell r="T143">
            <v>19.000000000000046</v>
          </cell>
          <cell r="U143">
            <v>0</v>
          </cell>
          <cell r="V143">
            <v>159.99999999999997</v>
          </cell>
          <cell r="W143">
            <v>181</v>
          </cell>
          <cell r="Y143">
            <v>0</v>
          </cell>
          <cell r="Z143">
            <v>466.37902502486236</v>
          </cell>
          <cell r="AA143">
            <v>438.94496472928222</v>
          </cell>
          <cell r="AB143">
            <v>0</v>
          </cell>
          <cell r="AC143">
            <v>4864.9733590828882</v>
          </cell>
          <cell r="AD143">
            <v>0</v>
          </cell>
          <cell r="AE143">
            <v>5770.2973488370326</v>
          </cell>
          <cell r="AG143">
            <v>5487.9950310250297</v>
          </cell>
          <cell r="AH143">
            <v>282.30231781200291</v>
          </cell>
          <cell r="AI143">
            <v>4.8923357107220684E-2</v>
          </cell>
        </row>
        <row r="144">
          <cell r="E144">
            <v>2303</v>
          </cell>
          <cell r="F144" t="str">
            <v>Stocksbridge Junior School</v>
          </cell>
          <cell r="G144">
            <v>3.3898305084745801E-3</v>
          </cell>
          <cell r="H144">
            <v>3.3898305084745801E-3</v>
          </cell>
          <cell r="I144">
            <v>0</v>
          </cell>
          <cell r="J144">
            <v>0.37288135593220301</v>
          </cell>
          <cell r="K144">
            <v>0</v>
          </cell>
          <cell r="L144">
            <v>0.115254237288136</v>
          </cell>
          <cell r="M144">
            <v>0.50508474576271201</v>
          </cell>
          <cell r="N144">
            <v>1.0000000000000002</v>
          </cell>
          <cell r="P144">
            <v>1.0000000000000011</v>
          </cell>
          <cell r="Q144">
            <v>1.0000000000000011</v>
          </cell>
          <cell r="R144">
            <v>0</v>
          </cell>
          <cell r="S144">
            <v>109.99999999999989</v>
          </cell>
          <cell r="T144">
            <v>0</v>
          </cell>
          <cell r="U144">
            <v>34.000000000000121</v>
          </cell>
          <cell r="V144">
            <v>149.00000000000003</v>
          </cell>
          <cell r="W144">
            <v>295</v>
          </cell>
          <cell r="Y144">
            <v>612.69401326795696</v>
          </cell>
          <cell r="Z144">
            <v>466.37902502486276</v>
          </cell>
          <cell r="AA144">
            <v>0</v>
          </cell>
          <cell r="AB144">
            <v>44260.283943535906</v>
          </cell>
          <cell r="AC144">
            <v>0</v>
          </cell>
          <cell r="AD144">
            <v>7151.1450503812466</v>
          </cell>
          <cell r="AE144">
            <v>52490.502032209974</v>
          </cell>
          <cell r="AG144">
            <v>40621.251561080877</v>
          </cell>
          <cell r="AH144">
            <v>11869.250471129097</v>
          </cell>
          <cell r="AI144">
            <v>0.2261218698926849</v>
          </cell>
        </row>
        <row r="145">
          <cell r="E145">
            <v>2302</v>
          </cell>
          <cell r="F145" t="str">
            <v>Stocksbridge Nursery Infant School</v>
          </cell>
          <cell r="G145">
            <v>0</v>
          </cell>
          <cell r="H145">
            <v>0</v>
          </cell>
          <cell r="I145">
            <v>0</v>
          </cell>
          <cell r="J145">
            <v>0.27272727272727298</v>
          </cell>
          <cell r="K145">
            <v>0</v>
          </cell>
          <cell r="L145">
            <v>0.14141414141414099</v>
          </cell>
          <cell r="M145">
            <v>0.58585858585858597</v>
          </cell>
          <cell r="N145">
            <v>1</v>
          </cell>
          <cell r="P145">
            <v>0</v>
          </cell>
          <cell r="Q145">
            <v>0</v>
          </cell>
          <cell r="R145">
            <v>0</v>
          </cell>
          <cell r="S145">
            <v>54.00000000000005</v>
          </cell>
          <cell r="T145">
            <v>0</v>
          </cell>
          <cell r="U145">
            <v>27.999999999999915</v>
          </cell>
          <cell r="V145">
            <v>116.00000000000003</v>
          </cell>
          <cell r="W145">
            <v>198</v>
          </cell>
          <cell r="Y145">
            <v>0</v>
          </cell>
          <cell r="Z145">
            <v>0</v>
          </cell>
          <cell r="AA145">
            <v>0</v>
          </cell>
          <cell r="AB145">
            <v>21727.775754099486</v>
          </cell>
          <cell r="AC145">
            <v>0</v>
          </cell>
          <cell r="AD145">
            <v>5889.178276784517</v>
          </cell>
          <cell r="AE145">
            <v>27616.954030884004</v>
          </cell>
          <cell r="AG145">
            <v>22531.638666486011</v>
          </cell>
          <cell r="AH145">
            <v>5085.3153643979931</v>
          </cell>
          <cell r="AI145">
            <v>0.18413744537906285</v>
          </cell>
        </row>
        <row r="146">
          <cell r="E146">
            <v>2350</v>
          </cell>
          <cell r="F146" t="str">
            <v>Stradbroke Primary School</v>
          </cell>
          <cell r="G146">
            <v>0.15085158150851599</v>
          </cell>
          <cell r="H146">
            <v>5.3527980535279802E-2</v>
          </cell>
          <cell r="I146">
            <v>6.0827250608272501E-2</v>
          </cell>
          <cell r="J146">
            <v>0.194647201946472</v>
          </cell>
          <cell r="K146">
            <v>0.30900243309002401</v>
          </cell>
          <cell r="L146">
            <v>0.15815085158150899</v>
          </cell>
          <cell r="M146">
            <v>7.2992700729927001E-2</v>
          </cell>
          <cell r="N146">
            <v>1.0000000000000002</v>
          </cell>
          <cell r="P146">
            <v>62.000000000000071</v>
          </cell>
          <cell r="Q146">
            <v>22</v>
          </cell>
          <cell r="R146">
            <v>24.999999999999996</v>
          </cell>
          <cell r="S146">
            <v>80</v>
          </cell>
          <cell r="T146">
            <v>126.99999999999987</v>
          </cell>
          <cell r="U146">
            <v>65.000000000000199</v>
          </cell>
          <cell r="V146">
            <v>29.999999999999996</v>
          </cell>
          <cell r="W146">
            <v>411</v>
          </cell>
          <cell r="Y146">
            <v>37987.028822613334</v>
          </cell>
          <cell r="Z146">
            <v>10260.338550546969</v>
          </cell>
          <cell r="AA146">
            <v>10973.624118232052</v>
          </cell>
          <cell r="AB146">
            <v>32189.29741348069</v>
          </cell>
          <cell r="AC146">
            <v>32518.506137027613</v>
          </cell>
          <cell r="AD146">
            <v>13671.306713964141</v>
          </cell>
          <cell r="AE146">
            <v>137600.1017558648</v>
          </cell>
          <cell r="AG146">
            <v>115937.71617530385</v>
          </cell>
          <cell r="AH146">
            <v>21662.385580560949</v>
          </cell>
          <cell r="AI146">
            <v>0.15743001134545057</v>
          </cell>
        </row>
        <row r="147">
          <cell r="E147">
            <v>2230</v>
          </cell>
          <cell r="F147" t="str">
            <v>Tinsley Meadows Primary School</v>
          </cell>
          <cell r="G147">
            <v>1.4678899082568799E-2</v>
          </cell>
          <cell r="H147">
            <v>5.5045871559632996E-3</v>
          </cell>
          <cell r="I147">
            <v>7.3394495412843997E-3</v>
          </cell>
          <cell r="J147">
            <v>0.30091743119266101</v>
          </cell>
          <cell r="K147">
            <v>0.64954128440366998</v>
          </cell>
          <cell r="L147">
            <v>5.5045871559632996E-3</v>
          </cell>
          <cell r="M147">
            <v>1.6513761467889899E-2</v>
          </cell>
          <cell r="N147">
            <v>1.0000000000000007</v>
          </cell>
          <cell r="P147">
            <v>7.9999999999999956</v>
          </cell>
          <cell r="Q147">
            <v>2.9999999999999982</v>
          </cell>
          <cell r="R147">
            <v>3.9999999999999978</v>
          </cell>
          <cell r="S147">
            <v>164.00000000000026</v>
          </cell>
          <cell r="T147">
            <v>354.00000000000011</v>
          </cell>
          <cell r="U147">
            <v>2.9999999999999982</v>
          </cell>
          <cell r="V147">
            <v>8.9999999999999947</v>
          </cell>
          <cell r="W147">
            <v>545</v>
          </cell>
          <cell r="Y147">
            <v>4901.5521061436475</v>
          </cell>
          <cell r="Z147">
            <v>1399.1370750745859</v>
          </cell>
          <cell r="AA147">
            <v>1755.7798589171275</v>
          </cell>
          <cell r="AB147">
            <v>65988.059697635515</v>
          </cell>
          <cell r="AC147">
            <v>90642.135216596769</v>
          </cell>
          <cell r="AD147">
            <v>630.98338679834262</v>
          </cell>
          <cell r="AE147">
            <v>165317.64734116598</v>
          </cell>
          <cell r="AG147">
            <v>132166.12068257562</v>
          </cell>
          <cell r="AH147">
            <v>33151.526658590359</v>
          </cell>
          <cell r="AI147">
            <v>0.20053229157184629</v>
          </cell>
        </row>
        <row r="148">
          <cell r="E148">
            <v>5206</v>
          </cell>
          <cell r="F148" t="str">
            <v>Totley All Saints Church of England Voluntary Aided Primary School</v>
          </cell>
          <cell r="G148">
            <v>3.3175355450236997E-2</v>
          </cell>
          <cell r="H148">
            <v>4.739336492891E-3</v>
          </cell>
          <cell r="I148">
            <v>1.4218009478673001E-2</v>
          </cell>
          <cell r="J148">
            <v>0</v>
          </cell>
          <cell r="K148">
            <v>0</v>
          </cell>
          <cell r="L148">
            <v>1.8957345971564E-2</v>
          </cell>
          <cell r="M148">
            <v>0.928909952606635</v>
          </cell>
          <cell r="N148">
            <v>1</v>
          </cell>
          <cell r="P148">
            <v>7.0000000000000062</v>
          </cell>
          <cell r="Q148">
            <v>1.0000000000000009</v>
          </cell>
          <cell r="R148">
            <v>3.0000000000000031</v>
          </cell>
          <cell r="S148">
            <v>0</v>
          </cell>
          <cell r="T148">
            <v>0</v>
          </cell>
          <cell r="U148">
            <v>4.0000000000000036</v>
          </cell>
          <cell r="V148">
            <v>195.99999999999997</v>
          </cell>
          <cell r="W148">
            <v>211</v>
          </cell>
          <cell r="Y148">
            <v>4288.8580928756974</v>
          </cell>
          <cell r="Z148">
            <v>466.37902502486264</v>
          </cell>
          <cell r="AA148">
            <v>1316.8348941878478</v>
          </cell>
          <cell r="AB148">
            <v>0</v>
          </cell>
          <cell r="AC148">
            <v>0</v>
          </cell>
          <cell r="AD148">
            <v>841.31118239779153</v>
          </cell>
          <cell r="AE148">
            <v>6913.3831944861995</v>
          </cell>
          <cell r="AG148">
            <v>2786.0085871873107</v>
          </cell>
          <cell r="AH148">
            <v>4127.3746072988888</v>
          </cell>
          <cell r="AI148">
            <v>0.59701227187734873</v>
          </cell>
        </row>
        <row r="149">
          <cell r="E149">
            <v>2203</v>
          </cell>
          <cell r="F149" t="str">
            <v>Totley Primary School</v>
          </cell>
          <cell r="G149">
            <v>2.36406619385343E-3</v>
          </cell>
          <cell r="H149">
            <v>2.36406619385343E-3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0.99527186761229303</v>
          </cell>
          <cell r="N149">
            <v>0.99999999999999989</v>
          </cell>
          <cell r="P149">
            <v>1.0000000000000009</v>
          </cell>
          <cell r="Q149">
            <v>1.0000000000000009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420.99999999999994</v>
          </cell>
          <cell r="W149">
            <v>423</v>
          </cell>
          <cell r="Y149">
            <v>612.69401326795685</v>
          </cell>
          <cell r="Z149">
            <v>466.37902502486264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1079.0730382928195</v>
          </cell>
          <cell r="AG149">
            <v>2299.5438766418033</v>
          </cell>
          <cell r="AH149">
            <v>-1220.4708383489838</v>
          </cell>
          <cell r="AI149">
            <v>-1.1310363571680624</v>
          </cell>
        </row>
        <row r="150">
          <cell r="E150">
            <v>2351</v>
          </cell>
          <cell r="F150" t="str">
            <v>Walkley Primary School</v>
          </cell>
          <cell r="G150">
            <v>5.3050397877984099E-3</v>
          </cell>
          <cell r="H150">
            <v>6.1007957559681698E-2</v>
          </cell>
          <cell r="I150">
            <v>5.3050397877984099E-3</v>
          </cell>
          <cell r="J150">
            <v>0.129973474801061</v>
          </cell>
          <cell r="K150">
            <v>0.254641909814324</v>
          </cell>
          <cell r="L150">
            <v>7.69230769230769E-2</v>
          </cell>
          <cell r="M150">
            <v>0.46684350132626001</v>
          </cell>
          <cell r="N150">
            <v>1.0000000000000004</v>
          </cell>
          <cell r="P150">
            <v>2.0000000000000004</v>
          </cell>
          <cell r="Q150">
            <v>23</v>
          </cell>
          <cell r="R150">
            <v>2.0000000000000004</v>
          </cell>
          <cell r="S150">
            <v>49</v>
          </cell>
          <cell r="T150">
            <v>96.000000000000142</v>
          </cell>
          <cell r="U150">
            <v>28.999999999999993</v>
          </cell>
          <cell r="V150">
            <v>176.00000000000003</v>
          </cell>
          <cell r="W150">
            <v>377</v>
          </cell>
          <cell r="Y150">
            <v>1225.3880265359128</v>
          </cell>
          <cell r="Z150">
            <v>10726.717575571831</v>
          </cell>
          <cell r="AA150">
            <v>877.88992945856444</v>
          </cell>
          <cell r="AB150">
            <v>19715.944665756924</v>
          </cell>
          <cell r="AC150">
            <v>24580.918024839833</v>
          </cell>
          <cell r="AD150">
            <v>6099.5060723839815</v>
          </cell>
          <cell r="AE150">
            <v>63226.364294547049</v>
          </cell>
          <cell r="AG150">
            <v>50735.030806450814</v>
          </cell>
          <cell r="AH150">
            <v>12491.333488096236</v>
          </cell>
          <cell r="AI150">
            <v>0.1975652661270221</v>
          </cell>
        </row>
        <row r="151">
          <cell r="E151">
            <v>3432</v>
          </cell>
          <cell r="F151" t="str">
            <v>Watercliffe Meadow Community Primary School</v>
          </cell>
          <cell r="G151">
            <v>0.32134292565947198</v>
          </cell>
          <cell r="H151">
            <v>0.35251798561151099</v>
          </cell>
          <cell r="I151">
            <v>0.14148681055155901</v>
          </cell>
          <cell r="J151">
            <v>0</v>
          </cell>
          <cell r="K151">
            <v>0.13908872901678701</v>
          </cell>
          <cell r="L151">
            <v>7.1942446043165497E-3</v>
          </cell>
          <cell r="M151">
            <v>3.83693045563549E-2</v>
          </cell>
          <cell r="N151">
            <v>1.0000000000000004</v>
          </cell>
          <cell r="P151">
            <v>133.9999999999998</v>
          </cell>
          <cell r="Q151">
            <v>147.00000000000009</v>
          </cell>
          <cell r="R151">
            <v>59.000000000000107</v>
          </cell>
          <cell r="S151">
            <v>0</v>
          </cell>
          <cell r="T151">
            <v>58.000000000000185</v>
          </cell>
          <cell r="U151">
            <v>3.0000000000000013</v>
          </cell>
          <cell r="V151">
            <v>15.999999999999993</v>
          </cell>
          <cell r="W151">
            <v>417</v>
          </cell>
          <cell r="Y151">
            <v>82100.997777906014</v>
          </cell>
          <cell r="Z151">
            <v>68557.71667865479</v>
          </cell>
          <cell r="AA151">
            <v>25897.752919027691</v>
          </cell>
          <cell r="AB151">
            <v>0</v>
          </cell>
          <cell r="AC151">
            <v>14850.97130667409</v>
          </cell>
          <cell r="AD151">
            <v>630.9833867983433</v>
          </cell>
          <cell r="AE151">
            <v>192038.42206906094</v>
          </cell>
          <cell r="AG151">
            <v>150375.14156476551</v>
          </cell>
          <cell r="AH151">
            <v>41663.280504295428</v>
          </cell>
          <cell r="AI151">
            <v>0.21695283712189878</v>
          </cell>
        </row>
        <row r="152">
          <cell r="E152">
            <v>2319</v>
          </cell>
          <cell r="F152" t="str">
            <v>Waterthorpe Infant School</v>
          </cell>
          <cell r="G152">
            <v>2.2388059701492501E-2</v>
          </cell>
          <cell r="H152">
            <v>6.7164179104477598E-2</v>
          </cell>
          <cell r="I152">
            <v>2.9850746268656699E-2</v>
          </cell>
          <cell r="J152">
            <v>0.171641791044776</v>
          </cell>
          <cell r="K152">
            <v>3.7313432835820899E-2</v>
          </cell>
          <cell r="L152">
            <v>0.14925373134328401</v>
          </cell>
          <cell r="M152">
            <v>0.52238805970149205</v>
          </cell>
          <cell r="N152">
            <v>0.99999999999999978</v>
          </cell>
          <cell r="P152">
            <v>2.9999999999999951</v>
          </cell>
          <cell r="Q152">
            <v>8.9999999999999982</v>
          </cell>
          <cell r="R152">
            <v>3.9999999999999978</v>
          </cell>
          <cell r="S152">
            <v>22.999999999999986</v>
          </cell>
          <cell r="T152">
            <v>5.0000000000000009</v>
          </cell>
          <cell r="U152">
            <v>20.000000000000057</v>
          </cell>
          <cell r="V152">
            <v>69.999999999999929</v>
          </cell>
          <cell r="W152">
            <v>134</v>
          </cell>
          <cell r="Y152">
            <v>1838.0820398038659</v>
          </cell>
          <cell r="Z152">
            <v>4197.4112252237592</v>
          </cell>
          <cell r="AA152">
            <v>1755.7798589171275</v>
          </cell>
          <cell r="AB152">
            <v>9254.4230063756931</v>
          </cell>
          <cell r="AC152">
            <v>1280.2561471270728</v>
          </cell>
          <cell r="AD152">
            <v>4206.5559119889658</v>
          </cell>
          <cell r="AE152">
            <v>22532.508189436485</v>
          </cell>
          <cell r="AG152">
            <v>15172.128170260452</v>
          </cell>
          <cell r="AH152">
            <v>7360.3800191760329</v>
          </cell>
          <cell r="AI152">
            <v>0.32665604544755783</v>
          </cell>
        </row>
        <row r="153">
          <cell r="E153">
            <v>2352</v>
          </cell>
          <cell r="F153" t="str">
            <v>Westways Primary School</v>
          </cell>
          <cell r="G153">
            <v>1.7241379310344799E-3</v>
          </cell>
          <cell r="H153">
            <v>4.31034482758621E-2</v>
          </cell>
          <cell r="I153">
            <v>1.89655172413793E-2</v>
          </cell>
          <cell r="J153">
            <v>1.03448275862069E-2</v>
          </cell>
          <cell r="K153">
            <v>0.12068965517241401</v>
          </cell>
          <cell r="L153">
            <v>2.24137931034483E-2</v>
          </cell>
          <cell r="M153">
            <v>0.78275862068965496</v>
          </cell>
          <cell r="N153">
            <v>1</v>
          </cell>
          <cell r="P153">
            <v>0.99999999999999833</v>
          </cell>
          <cell r="Q153">
            <v>25.000000000000018</v>
          </cell>
          <cell r="R153">
            <v>10.999999999999995</v>
          </cell>
          <cell r="S153">
            <v>6.0000000000000018</v>
          </cell>
          <cell r="T153">
            <v>70.000000000000128</v>
          </cell>
          <cell r="U153">
            <v>13.000000000000014</v>
          </cell>
          <cell r="V153">
            <v>453.99999999999989</v>
          </cell>
          <cell r="W153">
            <v>580</v>
          </cell>
          <cell r="Y153">
            <v>612.69401326795526</v>
          </cell>
          <cell r="Z153">
            <v>11659.475625621564</v>
          </cell>
          <cell r="AA153">
            <v>4828.3946120221008</v>
          </cell>
          <cell r="AB153">
            <v>2414.1973060110527</v>
          </cell>
          <cell r="AC153">
            <v>17923.586059779049</v>
          </cell>
          <cell r="AD153">
            <v>2734.2613427928227</v>
          </cell>
          <cell r="AE153">
            <v>40172.608959494544</v>
          </cell>
          <cell r="AG153">
            <v>33330.002136530115</v>
          </cell>
          <cell r="AH153">
            <v>6842.6068229644297</v>
          </cell>
          <cell r="AI153">
            <v>0.1703301577914377</v>
          </cell>
        </row>
        <row r="154">
          <cell r="E154">
            <v>2311</v>
          </cell>
          <cell r="F154" t="str">
            <v>Wharncliffe Side Primary School</v>
          </cell>
          <cell r="G154">
            <v>7.0422535211267599E-3</v>
          </cell>
          <cell r="H154">
            <v>7.0422535211267599E-3</v>
          </cell>
          <cell r="I154">
            <v>1.4084507042253501E-2</v>
          </cell>
          <cell r="J154">
            <v>1.4084507042253501E-2</v>
          </cell>
          <cell r="K154">
            <v>2.8169014084507001E-2</v>
          </cell>
          <cell r="L154">
            <v>0.676056338028169</v>
          </cell>
          <cell r="M154">
            <v>0.25352112676056299</v>
          </cell>
          <cell r="N154">
            <v>0.99999999999999956</v>
          </cell>
          <cell r="P154">
            <v>0.99999999999999989</v>
          </cell>
          <cell r="Q154">
            <v>0.99999999999999989</v>
          </cell>
          <cell r="R154">
            <v>1.9999999999999971</v>
          </cell>
          <cell r="S154">
            <v>1.9999999999999971</v>
          </cell>
          <cell r="T154">
            <v>3.9999999999999942</v>
          </cell>
          <cell r="U154">
            <v>96</v>
          </cell>
          <cell r="V154">
            <v>35.999999999999943</v>
          </cell>
          <cell r="W154">
            <v>142</v>
          </cell>
          <cell r="Y154">
            <v>612.69401326795617</v>
          </cell>
          <cell r="Z154">
            <v>466.37902502486219</v>
          </cell>
          <cell r="AA154">
            <v>877.88992945856296</v>
          </cell>
          <cell r="AB154">
            <v>804.73243533701611</v>
          </cell>
          <cell r="AC154">
            <v>1024.2049177016565</v>
          </cell>
          <cell r="AD154">
            <v>20191.468377546978</v>
          </cell>
          <cell r="AE154">
            <v>23977.368698337032</v>
          </cell>
          <cell r="AG154">
            <v>19254.772446630472</v>
          </cell>
          <cell r="AH154">
            <v>4722.59625170656</v>
          </cell>
          <cell r="AI154">
            <v>0.19696057190938132</v>
          </cell>
        </row>
        <row r="155">
          <cell r="E155">
            <v>2040</v>
          </cell>
          <cell r="F155" t="str">
            <v>Whiteways Primary School</v>
          </cell>
          <cell r="G155">
            <v>2.2222222222222199E-2</v>
          </cell>
          <cell r="H155">
            <v>6.6666666666666693E-2</v>
          </cell>
          <cell r="I155">
            <v>0.50864197530864197</v>
          </cell>
          <cell r="J155">
            <v>2.96296296296296E-2</v>
          </cell>
          <cell r="K155">
            <v>0.31111111111111101</v>
          </cell>
          <cell r="L155">
            <v>5.6790123456790097E-2</v>
          </cell>
          <cell r="M155">
            <v>4.9382716049382698E-3</v>
          </cell>
          <cell r="N155">
            <v>0.99999999999999989</v>
          </cell>
          <cell r="P155">
            <v>9.0222222222222133</v>
          </cell>
          <cell r="Q155">
            <v>27.066666666666677</v>
          </cell>
          <cell r="R155">
            <v>206.50864197530865</v>
          </cell>
          <cell r="S155">
            <v>12.029629629629618</v>
          </cell>
          <cell r="T155">
            <v>126.31111111111107</v>
          </cell>
          <cell r="U155">
            <v>23.056790123456778</v>
          </cell>
          <cell r="V155">
            <v>2.0049382716049373</v>
          </cell>
          <cell r="W155">
            <v>406</v>
          </cell>
          <cell r="Y155">
            <v>5527.8615419286671</v>
          </cell>
          <cell r="Z155">
            <v>12623.325610672942</v>
          </cell>
          <cell r="AA155">
            <v>90645.928568143805</v>
          </cell>
          <cell r="AB155">
            <v>4840.3165740270915</v>
          </cell>
          <cell r="AC155">
            <v>32342.115290090129</v>
          </cell>
          <cell r="AD155">
            <v>4849.4838402657815</v>
          </cell>
          <cell r="AE155">
            <v>150829.0314251284</v>
          </cell>
          <cell r="AG155">
            <v>120725.62747615401</v>
          </cell>
          <cell r="AH155">
            <v>30103.403948974388</v>
          </cell>
          <cell r="AI155">
            <v>0.19958627105497082</v>
          </cell>
        </row>
        <row r="156">
          <cell r="E156">
            <v>2027</v>
          </cell>
          <cell r="F156" t="str">
            <v>Wincobank Nursery and Infant School</v>
          </cell>
          <cell r="G156">
            <v>4.3795620437956199E-2</v>
          </cell>
          <cell r="H156">
            <v>0.36496350364963498</v>
          </cell>
          <cell r="I156">
            <v>9.4890510948905105E-2</v>
          </cell>
          <cell r="J156">
            <v>0</v>
          </cell>
          <cell r="K156">
            <v>3.6496350364963501E-2</v>
          </cell>
          <cell r="L156">
            <v>0.233576642335766</v>
          </cell>
          <cell r="M156">
            <v>0.226277372262774</v>
          </cell>
          <cell r="N156">
            <v>0.99999999999999978</v>
          </cell>
          <cell r="P156">
            <v>5.9999999999999991</v>
          </cell>
          <cell r="Q156">
            <v>49.999999999999993</v>
          </cell>
          <cell r="R156">
            <v>13</v>
          </cell>
          <cell r="S156">
            <v>0</v>
          </cell>
          <cell r="T156">
            <v>5</v>
          </cell>
          <cell r="U156">
            <v>31.999999999999943</v>
          </cell>
          <cell r="V156">
            <v>31.000000000000039</v>
          </cell>
          <cell r="W156">
            <v>137</v>
          </cell>
          <cell r="Y156">
            <v>3676.1640796077372</v>
          </cell>
          <cell r="Z156">
            <v>23318.95125124311</v>
          </cell>
          <cell r="AA156">
            <v>5706.284541480667</v>
          </cell>
          <cell r="AB156">
            <v>0</v>
          </cell>
          <cell r="AC156">
            <v>1280.2561471270726</v>
          </cell>
          <cell r="AD156">
            <v>6730.489459182314</v>
          </cell>
          <cell r="AE156">
            <v>40712.145478640901</v>
          </cell>
          <cell r="AG156">
            <v>30086.49344941074</v>
          </cell>
          <cell r="AH156">
            <v>10625.652029230161</v>
          </cell>
          <cell r="AI156">
            <v>0.26099464678924306</v>
          </cell>
        </row>
        <row r="157">
          <cell r="E157">
            <v>2361</v>
          </cell>
          <cell r="F157" t="str">
            <v>Windmill Hill Primary School</v>
          </cell>
          <cell r="G157">
            <v>9.5238095238095195E-3</v>
          </cell>
          <cell r="H157">
            <v>6.6666666666666693E-2</v>
          </cell>
          <cell r="I157">
            <v>3.1746031746031698E-3</v>
          </cell>
          <cell r="J157">
            <v>1.26984126984127E-2</v>
          </cell>
          <cell r="K157">
            <v>0.17142857142857101</v>
          </cell>
          <cell r="L157">
            <v>6.3492063492063501E-3</v>
          </cell>
          <cell r="M157">
            <v>0.73015873015873001</v>
          </cell>
          <cell r="N157">
            <v>0.99999999999999944</v>
          </cell>
          <cell r="P157">
            <v>2.9999999999999987</v>
          </cell>
          <cell r="Q157">
            <v>21.000000000000007</v>
          </cell>
          <cell r="R157">
            <v>0.99999999999999845</v>
          </cell>
          <cell r="S157">
            <v>4.0000000000000009</v>
          </cell>
          <cell r="T157">
            <v>53.999999999999872</v>
          </cell>
          <cell r="U157">
            <v>2.0000000000000004</v>
          </cell>
          <cell r="V157">
            <v>229.99999999999994</v>
          </cell>
          <cell r="W157">
            <v>315</v>
          </cell>
          <cell r="Y157">
            <v>1838.0820398038679</v>
          </cell>
          <cell r="Z157">
            <v>9793.9595255221102</v>
          </cell>
          <cell r="AA157">
            <v>438.94496472928142</v>
          </cell>
          <cell r="AB157">
            <v>1609.464870674035</v>
          </cell>
          <cell r="AC157">
            <v>13826.766388972352</v>
          </cell>
          <cell r="AD157">
            <v>420.65559119889548</v>
          </cell>
          <cell r="AE157">
            <v>27927.873380900543</v>
          </cell>
          <cell r="AG157">
            <v>21075.358690604062</v>
          </cell>
          <cell r="AH157">
            <v>6852.5146902964807</v>
          </cell>
          <cell r="AI157">
            <v>0.24536471491534381</v>
          </cell>
        </row>
        <row r="158">
          <cell r="E158">
            <v>2043</v>
          </cell>
          <cell r="F158" t="str">
            <v>Wisewood Community Primary School</v>
          </cell>
          <cell r="G158">
            <v>1.2820512820512799E-2</v>
          </cell>
          <cell r="H158">
            <v>3.2051282051282E-2</v>
          </cell>
          <cell r="I158">
            <v>0.15384615384615399</v>
          </cell>
          <cell r="J158">
            <v>1.9230769230769201E-2</v>
          </cell>
          <cell r="K158">
            <v>1.9230769230769201E-2</v>
          </cell>
          <cell r="L158">
            <v>0.22435897435897401</v>
          </cell>
          <cell r="M158">
            <v>0.53846153846153799</v>
          </cell>
          <cell r="N158">
            <v>0.99999999999999911</v>
          </cell>
          <cell r="P158">
            <v>1.9999999999999967</v>
          </cell>
          <cell r="Q158">
            <v>4.999999999999992</v>
          </cell>
          <cell r="R158">
            <v>24.000000000000021</v>
          </cell>
          <cell r="S158">
            <v>2.9999999999999951</v>
          </cell>
          <cell r="T158">
            <v>2.9999999999999951</v>
          </cell>
          <cell r="U158">
            <v>34.999999999999943</v>
          </cell>
          <cell r="V158">
            <v>83.999999999999929</v>
          </cell>
          <cell r="W158">
            <v>156</v>
          </cell>
          <cell r="Y158">
            <v>1225.3880265359105</v>
          </cell>
          <cell r="Z158">
            <v>2331.8951251243075</v>
          </cell>
          <cell r="AA158">
            <v>10534.679153502781</v>
          </cell>
          <cell r="AB158">
            <v>1207.0986530055238</v>
          </cell>
          <cell r="AC158">
            <v>768.15368827624229</v>
          </cell>
          <cell r="AD158">
            <v>7361.4728459806565</v>
          </cell>
          <cell r="AE158">
            <v>23428.687492425423</v>
          </cell>
          <cell r="AG158">
            <v>19712.022541234983</v>
          </cell>
          <cell r="AH158">
            <v>3716.6649511904398</v>
          </cell>
          <cell r="AI158">
            <v>0.15863735227985137</v>
          </cell>
        </row>
        <row r="159">
          <cell r="E159">
            <v>2139</v>
          </cell>
          <cell r="F159" t="str">
            <v>Woodhouse West Primary School</v>
          </cell>
          <cell r="G159">
            <v>4.72222222222222E-2</v>
          </cell>
          <cell r="H159">
            <v>0.28333333333333299</v>
          </cell>
          <cell r="I159">
            <v>0.22500000000000001</v>
          </cell>
          <cell r="J159">
            <v>2.5000000000000001E-2</v>
          </cell>
          <cell r="K159">
            <v>5.2777777777777798E-2</v>
          </cell>
          <cell r="L159">
            <v>0.25555555555555598</v>
          </cell>
          <cell r="M159">
            <v>0.11111111111111099</v>
          </cell>
          <cell r="N159">
            <v>1</v>
          </cell>
          <cell r="P159">
            <v>16.999999999999993</v>
          </cell>
          <cell r="Q159">
            <v>101.99999999999987</v>
          </cell>
          <cell r="R159">
            <v>81</v>
          </cell>
          <cell r="S159">
            <v>9</v>
          </cell>
          <cell r="T159">
            <v>19.000000000000007</v>
          </cell>
          <cell r="U159">
            <v>92.000000000000156</v>
          </cell>
          <cell r="V159">
            <v>39.999999999999957</v>
          </cell>
          <cell r="W159">
            <v>360</v>
          </cell>
          <cell r="Y159">
            <v>10415.798225555252</v>
          </cell>
          <cell r="Z159">
            <v>47570.66055253589</v>
          </cell>
          <cell r="AA159">
            <v>35554.542143071849</v>
          </cell>
          <cell r="AB159">
            <v>3621.2959590165774</v>
          </cell>
          <cell r="AC159">
            <v>4864.9733590828782</v>
          </cell>
          <cell r="AD159">
            <v>19350.157195149219</v>
          </cell>
          <cell r="AE159">
            <v>121377.42743441166</v>
          </cell>
          <cell r="AG159">
            <v>90347.744102227487</v>
          </cell>
          <cell r="AH159">
            <v>31029.68333218417</v>
          </cell>
          <cell r="AI159">
            <v>0.25564624319420171</v>
          </cell>
        </row>
        <row r="160">
          <cell r="E160">
            <v>2034</v>
          </cell>
          <cell r="F160" t="str">
            <v>Woodlands Primary School</v>
          </cell>
          <cell r="G160">
            <v>0.35949367088607598</v>
          </cell>
          <cell r="H160">
            <v>0.33670886075949402</v>
          </cell>
          <cell r="I160">
            <v>0.22025316455696201</v>
          </cell>
          <cell r="J160">
            <v>1.0126582278481001E-2</v>
          </cell>
          <cell r="K160">
            <v>5.0632911392405099E-3</v>
          </cell>
          <cell r="L160">
            <v>2.5316455696202502E-3</v>
          </cell>
          <cell r="M160">
            <v>6.58227848101266E-2</v>
          </cell>
          <cell r="N160">
            <v>1.0000000000000004</v>
          </cell>
          <cell r="P160">
            <v>142</v>
          </cell>
          <cell r="Q160">
            <v>133.00000000000014</v>
          </cell>
          <cell r="R160">
            <v>86.999999999999986</v>
          </cell>
          <cell r="S160">
            <v>3.9999999999999951</v>
          </cell>
          <cell r="T160">
            <v>2.0000000000000013</v>
          </cell>
          <cell r="U160">
            <v>0.99999999999999878</v>
          </cell>
          <cell r="V160">
            <v>26.000000000000007</v>
          </cell>
          <cell r="W160">
            <v>395</v>
          </cell>
          <cell r="Y160">
            <v>87002.549884049789</v>
          </cell>
          <cell r="Z160">
            <v>62028.410328306745</v>
          </cell>
          <cell r="AA160">
            <v>38188.211931447535</v>
          </cell>
          <cell r="AB160">
            <v>1609.4648706740325</v>
          </cell>
          <cell r="AC160">
            <v>512.10245885082941</v>
          </cell>
          <cell r="AD160">
            <v>210.32779559944743</v>
          </cell>
          <cell r="AE160">
            <v>189551.06726892837</v>
          </cell>
          <cell r="AG160">
            <v>139119.30276735983</v>
          </cell>
          <cell r="AH160">
            <v>50431.764501568541</v>
          </cell>
          <cell r="AI160">
            <v>0.26605898467465622</v>
          </cell>
        </row>
        <row r="161">
          <cell r="E161">
            <v>2324</v>
          </cell>
          <cell r="F161" t="str">
            <v>Woodseats Primary School</v>
          </cell>
          <cell r="G161">
            <v>1.6528925619834701E-2</v>
          </cell>
          <cell r="H161">
            <v>0.15702479338843001</v>
          </cell>
          <cell r="I161">
            <v>7.9889807162534396E-2</v>
          </cell>
          <cell r="J161">
            <v>1.10192837465565E-2</v>
          </cell>
          <cell r="K161">
            <v>6.3360881542699699E-2</v>
          </cell>
          <cell r="L161">
            <v>0.13223140495867799</v>
          </cell>
          <cell r="M161">
            <v>0.53994490358126701</v>
          </cell>
          <cell r="N161">
            <v>1.0000000000000004</v>
          </cell>
          <cell r="P161">
            <v>5.9999999999999964</v>
          </cell>
          <cell r="Q161">
            <v>57.000000000000092</v>
          </cell>
          <cell r="R161">
            <v>28.999999999999986</v>
          </cell>
          <cell r="S161">
            <v>4.0000000000000098</v>
          </cell>
          <cell r="T161">
            <v>22.999999999999989</v>
          </cell>
          <cell r="U161">
            <v>48.000000000000114</v>
          </cell>
          <cell r="V161">
            <v>195.99999999999991</v>
          </cell>
          <cell r="W161">
            <v>363</v>
          </cell>
          <cell r="Y161">
            <v>3676.1640796077354</v>
          </cell>
          <cell r="Z161">
            <v>26583.604426417191</v>
          </cell>
          <cell r="AA161">
            <v>12729.403977149175</v>
          </cell>
          <cell r="AB161">
            <v>1609.4648706740384</v>
          </cell>
          <cell r="AC161">
            <v>5889.1782767845316</v>
          </cell>
          <cell r="AD161">
            <v>10095.734188773513</v>
          </cell>
          <cell r="AE161">
            <v>60583.54981940618</v>
          </cell>
          <cell r="AG161">
            <v>51824.954059382253</v>
          </cell>
          <cell r="AH161">
            <v>8758.5957600239271</v>
          </cell>
          <cell r="AI161">
            <v>0.14457052757939196</v>
          </cell>
        </row>
        <row r="162">
          <cell r="E162">
            <v>2327</v>
          </cell>
          <cell r="F162" t="str">
            <v>Woodthorpe Primary School</v>
          </cell>
          <cell r="G162">
            <v>0.45073891625615797</v>
          </cell>
          <cell r="H162">
            <v>0.184729064039409</v>
          </cell>
          <cell r="I162">
            <v>9.8522167487684695E-3</v>
          </cell>
          <cell r="J162">
            <v>0.25369458128078798</v>
          </cell>
          <cell r="K162">
            <v>5.4187192118226597E-2</v>
          </cell>
          <cell r="L162">
            <v>2.4630541871921201E-2</v>
          </cell>
          <cell r="M162">
            <v>2.2167487684729099E-2</v>
          </cell>
          <cell r="N162">
            <v>1.0000000000000004</v>
          </cell>
          <cell r="P162">
            <v>183.00000000000014</v>
          </cell>
          <cell r="Q162">
            <v>75.000000000000057</v>
          </cell>
          <cell r="R162">
            <v>3.9999999999999987</v>
          </cell>
          <cell r="S162">
            <v>102.99999999999991</v>
          </cell>
          <cell r="T162">
            <v>22</v>
          </cell>
          <cell r="U162">
            <v>10.000000000000007</v>
          </cell>
          <cell r="V162">
            <v>9.0000000000000142</v>
          </cell>
          <cell r="W162">
            <v>406</v>
          </cell>
          <cell r="Y162">
            <v>112123.00442803609</v>
          </cell>
          <cell r="Z162">
            <v>34978.426876864694</v>
          </cell>
          <cell r="AA162">
            <v>1755.7798589171277</v>
          </cell>
          <cell r="AB162">
            <v>41443.720419856356</v>
          </cell>
          <cell r="AC162">
            <v>5633.1270473591194</v>
          </cell>
          <cell r="AD162">
            <v>2103.2779559944784</v>
          </cell>
          <cell r="AE162">
            <v>198037.33658702788</v>
          </cell>
          <cell r="AG162">
            <v>158370.06813611294</v>
          </cell>
          <cell r="AH162">
            <v>39667.26845091494</v>
          </cell>
          <cell r="AI162">
            <v>0.20030196898493979</v>
          </cell>
        </row>
        <row r="163">
          <cell r="E163">
            <v>2321</v>
          </cell>
          <cell r="F163" t="str">
            <v>Wybourn Community Primary &amp; Nursery School</v>
          </cell>
          <cell r="G163">
            <v>0.31367924528301899</v>
          </cell>
          <cell r="H163">
            <v>0.56839622641509402</v>
          </cell>
          <cell r="I163">
            <v>2.1226415094339601E-2</v>
          </cell>
          <cell r="J163">
            <v>1.41509433962264E-2</v>
          </cell>
          <cell r="K163">
            <v>4.9528301886792497E-2</v>
          </cell>
          <cell r="L163">
            <v>2.3584905660377401E-3</v>
          </cell>
          <cell r="M163">
            <v>3.0660377358490601E-2</v>
          </cell>
          <cell r="N163">
            <v>0.99999999999999978</v>
          </cell>
          <cell r="P163">
            <v>133.00000000000006</v>
          </cell>
          <cell r="Q163">
            <v>240.99999999999986</v>
          </cell>
          <cell r="R163">
            <v>8.9999999999999911</v>
          </cell>
          <cell r="S163">
            <v>5.9999999999999938</v>
          </cell>
          <cell r="T163">
            <v>21.000000000000018</v>
          </cell>
          <cell r="U163">
            <v>1.0000000000000018</v>
          </cell>
          <cell r="V163">
            <v>13.000000000000014</v>
          </cell>
          <cell r="W163">
            <v>424</v>
          </cell>
          <cell r="Y163">
            <v>81488.303764638214</v>
          </cell>
          <cell r="Z163">
            <v>112397.34503099174</v>
          </cell>
          <cell r="AA163">
            <v>3950.504682563535</v>
          </cell>
          <cell r="AB163">
            <v>2414.197306011049</v>
          </cell>
          <cell r="AC163">
            <v>5377.0758179337099</v>
          </cell>
          <cell r="AD163">
            <v>210.32779559944805</v>
          </cell>
          <cell r="AE163">
            <v>205837.75439773771</v>
          </cell>
          <cell r="AG163">
            <v>164189.88005204557</v>
          </cell>
          <cell r="AH163">
            <v>41647.874345692137</v>
          </cell>
          <cell r="AI163">
            <v>0.202333505180087</v>
          </cell>
        </row>
        <row r="164">
          <cell r="E164">
            <v>4014</v>
          </cell>
          <cell r="F164" t="str">
            <v>Astrea Academy</v>
          </cell>
          <cell r="G164">
            <v>3.3980582524271802E-2</v>
          </cell>
          <cell r="H164">
            <v>0.223300970873786</v>
          </cell>
          <cell r="I164">
            <v>0.38349514563106801</v>
          </cell>
          <cell r="J164">
            <v>3.8834951456310697E-2</v>
          </cell>
          <cell r="K164">
            <v>0.16019417475728201</v>
          </cell>
          <cell r="L164">
            <v>9.7087378640776708E-3</v>
          </cell>
          <cell r="M164">
            <v>0.15048543689320401</v>
          </cell>
          <cell r="N164">
            <v>1.0000000000000002</v>
          </cell>
          <cell r="P164">
            <v>8.2572815533980481</v>
          </cell>
          <cell r="Q164">
            <v>54.262135922329996</v>
          </cell>
          <cell r="R164">
            <v>93.189320388349529</v>
          </cell>
          <cell r="S164">
            <v>9.4368932038834998</v>
          </cell>
          <cell r="T164">
            <v>38.927184466019526</v>
          </cell>
          <cell r="U164">
            <v>2.3592233009708741</v>
          </cell>
          <cell r="V164">
            <v>36.567961165048573</v>
          </cell>
          <cell r="W164">
            <v>243</v>
          </cell>
          <cell r="Y164">
            <v>5059.1869736349145</v>
          </cell>
          <cell r="Z164">
            <v>25306.722047222818</v>
          </cell>
          <cell r="AA164">
            <v>40904.982951009857</v>
          </cell>
          <cell r="AB164">
            <v>3797.0870249882582</v>
          </cell>
          <cell r="AC164">
            <v>9967.3534405941991</v>
          </cell>
          <cell r="AD164">
            <v>496.21023622005623</v>
          </cell>
          <cell r="AE164">
            <v>85531.542673670105</v>
          </cell>
          <cell r="AG164">
            <v>58579.60663203169</v>
          </cell>
          <cell r="AH164">
            <v>26951.936041638415</v>
          </cell>
          <cell r="AI164">
            <v>0.3151110712976215</v>
          </cell>
        </row>
        <row r="165">
          <cell r="E165">
            <v>4225</v>
          </cell>
          <cell r="F165" t="str">
            <v>Hinde House 3-16 School</v>
          </cell>
          <cell r="G165">
            <v>0.162291169451074</v>
          </cell>
          <cell r="H165">
            <v>0.52028639618138395</v>
          </cell>
          <cell r="I165">
            <v>0.212410501193317</v>
          </cell>
          <cell r="J165">
            <v>0</v>
          </cell>
          <cell r="K165">
            <v>9.5465393794749408E-3</v>
          </cell>
          <cell r="L165">
            <v>1.4319809069212401E-2</v>
          </cell>
          <cell r="M165">
            <v>8.1145584725536998E-2</v>
          </cell>
          <cell r="N165">
            <v>0.99999999999999933</v>
          </cell>
          <cell r="P165">
            <v>68</v>
          </cell>
          <cell r="Q165">
            <v>217.99999999999989</v>
          </cell>
          <cell r="R165">
            <v>88.999999999999829</v>
          </cell>
          <cell r="S165">
            <v>0</v>
          </cell>
          <cell r="T165">
            <v>4</v>
          </cell>
          <cell r="U165">
            <v>5.9999999999999956</v>
          </cell>
          <cell r="V165">
            <v>34</v>
          </cell>
          <cell r="W165">
            <v>419</v>
          </cell>
          <cell r="Y165">
            <v>41663.192902221024</v>
          </cell>
          <cell r="Z165">
            <v>101670.62745541992</v>
          </cell>
          <cell r="AA165">
            <v>39066.101860906034</v>
          </cell>
          <cell r="AB165">
            <v>0</v>
          </cell>
          <cell r="AC165">
            <v>1024.2049177016581</v>
          </cell>
          <cell r="AD165">
            <v>1261.9667735966852</v>
          </cell>
          <cell r="AE165">
            <v>184686.09390984531</v>
          </cell>
          <cell r="AG165">
            <v>151292.21699205888</v>
          </cell>
          <cell r="AH165">
            <v>33393.876917786431</v>
          </cell>
          <cell r="AI165">
            <v>0.18081424654575068</v>
          </cell>
        </row>
        <row r="166">
          <cell r="E166">
            <v>4005</v>
          </cell>
          <cell r="F166" t="str">
            <v>Oasis Academy Don Valley</v>
          </cell>
          <cell r="G166">
            <v>3.8647342995169101E-2</v>
          </cell>
          <cell r="H166">
            <v>0.60869565217391297</v>
          </cell>
          <cell r="I166">
            <v>5.0724637681159403E-2</v>
          </cell>
          <cell r="J166">
            <v>0.229468599033816</v>
          </cell>
          <cell r="K166">
            <v>5.0724637681159403E-2</v>
          </cell>
          <cell r="L166">
            <v>0</v>
          </cell>
          <cell r="M166">
            <v>2.1739130434782601E-2</v>
          </cell>
          <cell r="N166">
            <v>0.99999999999999956</v>
          </cell>
          <cell r="P166">
            <v>16.000000000000007</v>
          </cell>
          <cell r="Q166">
            <v>251.99999999999997</v>
          </cell>
          <cell r="R166">
            <v>20.999999999999993</v>
          </cell>
          <cell r="S166">
            <v>94.999999999999829</v>
          </cell>
          <cell r="T166">
            <v>20.999999999999993</v>
          </cell>
          <cell r="U166">
            <v>0</v>
          </cell>
          <cell r="V166">
            <v>8.9999999999999964</v>
          </cell>
          <cell r="W166">
            <v>414</v>
          </cell>
          <cell r="Y166">
            <v>9803.1042122873041</v>
          </cell>
          <cell r="Z166">
            <v>117527.51430626528</v>
          </cell>
          <cell r="AA166">
            <v>9217.8442593149211</v>
          </cell>
          <cell r="AB166">
            <v>38224.790678508252</v>
          </cell>
          <cell r="AC166">
            <v>5377.0758179337035</v>
          </cell>
          <cell r="AD166">
            <v>0</v>
          </cell>
          <cell r="AE166">
            <v>180150.32927430948</v>
          </cell>
          <cell r="AG166">
            <v>144952.12941520163</v>
          </cell>
          <cell r="AH166">
            <v>35198.199859107845</v>
          </cell>
          <cell r="AI166">
            <v>0.19538237871057457</v>
          </cell>
        </row>
        <row r="168">
          <cell r="F168" t="str">
            <v>Total Primary</v>
          </cell>
          <cell r="P168">
            <v>3514.1505524199183</v>
          </cell>
          <cell r="Q168">
            <v>8306.551622314184</v>
          </cell>
          <cell r="R168">
            <v>4626.0368218461517</v>
          </cell>
          <cell r="S168">
            <v>2471.5623543940105</v>
          </cell>
          <cell r="T168">
            <v>3623.1385182607983</v>
          </cell>
          <cell r="U168">
            <v>2972.0155624582562</v>
          </cell>
          <cell r="V168">
            <v>18973.544568306683</v>
          </cell>
          <cell r="W168">
            <v>44487</v>
          </cell>
          <cell r="X168">
            <v>0</v>
          </cell>
          <cell r="Y168">
            <v>2153099.005189965</v>
          </cell>
          <cell r="Z168">
            <v>3874001.4469335759</v>
          </cell>
          <cell r="AA168">
            <v>2030575.5696016187</v>
          </cell>
          <cell r="AB168">
            <v>994473.19626939227</v>
          </cell>
          <cell r="AC168">
            <v>927709.07197925192</v>
          </cell>
          <cell r="AD168">
            <v>625097.48173909751</v>
          </cell>
          <cell r="AE168">
            <v>10604955.771712899</v>
          </cell>
          <cell r="AG168">
            <v>8471014.986481756</v>
          </cell>
          <cell r="AH168">
            <v>2133940.7852311479</v>
          </cell>
          <cell r="AI168">
            <v>0.20122109239937702</v>
          </cell>
        </row>
        <row r="169">
          <cell r="G169">
            <v>42</v>
          </cell>
          <cell r="H169">
            <v>41</v>
          </cell>
          <cell r="I169">
            <v>40</v>
          </cell>
          <cell r="J169">
            <v>39</v>
          </cell>
          <cell r="K169">
            <v>38</v>
          </cell>
          <cell r="L169">
            <v>37</v>
          </cell>
          <cell r="M169">
            <v>36</v>
          </cell>
          <cell r="AE169">
            <v>0</v>
          </cell>
        </row>
        <row r="170">
          <cell r="F170" t="str">
            <v>Secondary</v>
          </cell>
        </row>
        <row r="171">
          <cell r="E171">
            <v>4</v>
          </cell>
          <cell r="F171">
            <v>5</v>
          </cell>
          <cell r="G171">
            <v>6</v>
          </cell>
          <cell r="H171">
            <v>7</v>
          </cell>
          <cell r="I171">
            <v>8</v>
          </cell>
          <cell r="J171">
            <v>9</v>
          </cell>
          <cell r="K171">
            <v>10</v>
          </cell>
          <cell r="L171">
            <v>11</v>
          </cell>
          <cell r="M171">
            <v>12</v>
          </cell>
          <cell r="N171">
            <v>13</v>
          </cell>
          <cell r="O171">
            <v>14</v>
          </cell>
          <cell r="P171">
            <v>15</v>
          </cell>
          <cell r="Q171">
            <v>16</v>
          </cell>
          <cell r="R171">
            <v>17</v>
          </cell>
          <cell r="S171">
            <v>18</v>
          </cell>
          <cell r="T171">
            <v>19</v>
          </cell>
          <cell r="U171">
            <v>20</v>
          </cell>
          <cell r="V171">
            <v>21</v>
          </cell>
          <cell r="W171">
            <v>22</v>
          </cell>
          <cell r="X171">
            <v>23</v>
          </cell>
          <cell r="Y171">
            <v>24</v>
          </cell>
          <cell r="Z171">
            <v>25</v>
          </cell>
          <cell r="AA171">
            <v>26</v>
          </cell>
          <cell r="AB171">
            <v>27</v>
          </cell>
          <cell r="AC171">
            <v>28</v>
          </cell>
          <cell r="AD171">
            <v>29</v>
          </cell>
          <cell r="AE171">
            <v>30</v>
          </cell>
        </row>
        <row r="172">
          <cell r="E172">
            <v>5401</v>
          </cell>
          <cell r="F172" t="str">
            <v>All Saints' Catholic High School</v>
          </cell>
          <cell r="G172">
            <v>0.125847047434656</v>
          </cell>
          <cell r="H172">
            <v>0.25847047434656301</v>
          </cell>
          <cell r="I172">
            <v>0.117134559535334</v>
          </cell>
          <cell r="J172">
            <v>7.6476282671829598E-2</v>
          </cell>
          <cell r="K172">
            <v>7.2604065827686304E-2</v>
          </cell>
          <cell r="L172">
            <v>5.6147144240077398E-2</v>
          </cell>
          <cell r="M172">
            <v>0.29332042594385299</v>
          </cell>
          <cell r="N172">
            <v>0.99999999999999933</v>
          </cell>
          <cell r="P172">
            <v>130.12584704743429</v>
          </cell>
          <cell r="Q172">
            <v>267.25847047434615</v>
          </cell>
          <cell r="R172">
            <v>121.11713455953536</v>
          </cell>
          <cell r="S172">
            <v>79.076476282671806</v>
          </cell>
          <cell r="T172">
            <v>75.072604065827633</v>
          </cell>
          <cell r="U172">
            <v>58.056147144240029</v>
          </cell>
          <cell r="V172">
            <v>303.29332042594399</v>
          </cell>
          <cell r="W172">
            <v>1034</v>
          </cell>
          <cell r="Y172">
            <v>101783.33579756531</v>
          </cell>
          <cell r="Z172">
            <v>164090.90140863092</v>
          </cell>
          <cell r="AA172">
            <v>69269.91620697848</v>
          </cell>
          <cell r="AB172">
            <v>41235.300143629123</v>
          </cell>
          <cell r="AC172">
            <v>28097.757090519019</v>
          </cell>
          <cell r="AD172">
            <v>16357.735438765076</v>
          </cell>
          <cell r="AE172">
            <v>420834.94608608796</v>
          </cell>
          <cell r="AG172">
            <v>368958.18307322293</v>
          </cell>
          <cell r="AH172">
            <v>51876.763012865034</v>
          </cell>
          <cell r="AI172">
            <v>0.123271043660554</v>
          </cell>
        </row>
        <row r="173">
          <cell r="E173">
            <v>4017</v>
          </cell>
          <cell r="F173" t="str">
            <v>Bradfield School</v>
          </cell>
          <cell r="G173">
            <v>6.5727699530516402E-3</v>
          </cell>
          <cell r="H173">
            <v>6.1032863849765299E-2</v>
          </cell>
          <cell r="I173">
            <v>2.5352112676056301E-2</v>
          </cell>
          <cell r="J173">
            <v>7.5117370892018804E-3</v>
          </cell>
          <cell r="K173">
            <v>2.6291079812206599E-2</v>
          </cell>
          <cell r="L173">
            <v>9.6713615023474198E-2</v>
          </cell>
          <cell r="M173">
            <v>0.77652582159624395</v>
          </cell>
          <cell r="N173">
            <v>0.99999999999999989</v>
          </cell>
          <cell r="P173">
            <v>6.9999999999999964</v>
          </cell>
          <cell r="Q173">
            <v>65.000000000000043</v>
          </cell>
          <cell r="R173">
            <v>26.999999999999961</v>
          </cell>
          <cell r="S173">
            <v>8.0000000000000018</v>
          </cell>
          <cell r="T173">
            <v>28.000000000000028</v>
          </cell>
          <cell r="U173">
            <v>103.00000000000001</v>
          </cell>
          <cell r="V173">
            <v>826.99999999999977</v>
          </cell>
          <cell r="W173">
            <v>1065</v>
          </cell>
          <cell r="Y173">
            <v>5475.340731678295</v>
          </cell>
          <cell r="Z173">
            <v>39908.589511234321</v>
          </cell>
          <cell r="AA173">
            <v>15441.974782429095</v>
          </cell>
          <cell r="AB173">
            <v>4171.6881765167991</v>
          </cell>
          <cell r="AC173">
            <v>10479.684411169226</v>
          </cell>
          <cell r="AD173">
            <v>29020.98801022422</v>
          </cell>
          <cell r="AE173">
            <v>104498.26562325197</v>
          </cell>
          <cell r="AG173">
            <v>95423.134452959639</v>
          </cell>
          <cell r="AH173">
            <v>9075.1311702923267</v>
          </cell>
          <cell r="AI173">
            <v>8.6844801836337984E-2</v>
          </cell>
        </row>
        <row r="174">
          <cell r="E174">
            <v>4000</v>
          </cell>
          <cell r="F174" t="str">
            <v>Chaucer School</v>
          </cell>
          <cell r="G174">
            <v>0.35434007134363898</v>
          </cell>
          <cell r="H174">
            <v>0.41022592152199799</v>
          </cell>
          <cell r="I174">
            <v>9.2746730083234197E-2</v>
          </cell>
          <cell r="J174">
            <v>8.3234244946492307E-3</v>
          </cell>
          <cell r="K174">
            <v>2.7348394768133201E-2</v>
          </cell>
          <cell r="L174">
            <v>3.3293697978596902E-2</v>
          </cell>
          <cell r="M174">
            <v>7.3721759809750306E-2</v>
          </cell>
          <cell r="N174">
            <v>1.0000000000000009</v>
          </cell>
          <cell r="P174">
            <v>298.35434007134404</v>
          </cell>
          <cell r="Q174">
            <v>345.41022592152228</v>
          </cell>
          <cell r="R174">
            <v>78.092746730083192</v>
          </cell>
          <cell r="S174">
            <v>7.0083234244946526</v>
          </cell>
          <cell r="T174">
            <v>23.027348394768154</v>
          </cell>
          <cell r="U174">
            <v>28.033293697978593</v>
          </cell>
          <cell r="V174">
            <v>62.073721759809757</v>
          </cell>
          <cell r="W174">
            <v>842</v>
          </cell>
          <cell r="Y174">
            <v>233370.23866651836</v>
          </cell>
          <cell r="Z174">
            <v>212074.38337361126</v>
          </cell>
          <cell r="AA174">
            <v>44663.19354431735</v>
          </cell>
          <cell r="AB174">
            <v>3654.5674958962577</v>
          </cell>
          <cell r="AC174">
            <v>8618.5480001147953</v>
          </cell>
          <cell r="AD174">
            <v>7898.5813620983581</v>
          </cell>
          <cell r="AE174">
            <v>510279.51244255633</v>
          </cell>
          <cell r="AG174">
            <v>470240.03471053566</v>
          </cell>
          <cell r="AH174">
            <v>40039.477732020663</v>
          </cell>
          <cell r="AI174">
            <v>7.8465775630229773E-2</v>
          </cell>
        </row>
        <row r="175">
          <cell r="E175">
            <v>4012</v>
          </cell>
          <cell r="F175" t="str">
            <v>Ecclesfield School</v>
          </cell>
          <cell r="G175">
            <v>6.4667842445620197E-2</v>
          </cell>
          <cell r="H175">
            <v>0.21751910640799499</v>
          </cell>
          <cell r="I175">
            <v>4.5855379188712499E-2</v>
          </cell>
          <cell r="J175">
            <v>3.5273368606701899E-3</v>
          </cell>
          <cell r="K175">
            <v>7.5249853027630806E-2</v>
          </cell>
          <cell r="L175">
            <v>3.5861258083480299E-2</v>
          </cell>
          <cell r="M175">
            <v>0.55731922398589095</v>
          </cell>
          <cell r="N175">
            <v>1</v>
          </cell>
          <cell r="P175">
            <v>109.99999999999996</v>
          </cell>
          <cell r="Q175">
            <v>369.99999999999949</v>
          </cell>
          <cell r="R175">
            <v>77.999999999999957</v>
          </cell>
          <cell r="S175">
            <v>5.9999999999999929</v>
          </cell>
          <cell r="T175">
            <v>128</v>
          </cell>
          <cell r="U175">
            <v>60.999999999999986</v>
          </cell>
          <cell r="V175">
            <v>948.00000000000057</v>
          </cell>
          <cell r="W175">
            <v>1701</v>
          </cell>
          <cell r="Y175">
            <v>86041.068640658923</v>
          </cell>
          <cell r="Z175">
            <v>227171.97106394873</v>
          </cell>
          <cell r="AA175">
            <v>44610.14937146187</v>
          </cell>
          <cell r="AB175">
            <v>3128.766132387595</v>
          </cell>
          <cell r="AC175">
            <v>47907.128736773557</v>
          </cell>
          <cell r="AD175">
            <v>17187.187074016281</v>
          </cell>
          <cell r="AE175">
            <v>426046.27101924701</v>
          </cell>
          <cell r="AG175">
            <v>372382.73874965188</v>
          </cell>
          <cell r="AH175">
            <v>53663.532269595133</v>
          </cell>
          <cell r="AI175">
            <v>0.12595705189770534</v>
          </cell>
        </row>
        <row r="176">
          <cell r="E176">
            <v>4280</v>
          </cell>
          <cell r="F176" t="str">
            <v>Fir Vale School</v>
          </cell>
          <cell r="G176">
            <v>3.5121951219512199E-2</v>
          </cell>
          <cell r="H176">
            <v>7.4146341463414603E-2</v>
          </cell>
          <cell r="I176">
            <v>0.56487804878048797</v>
          </cell>
          <cell r="J176">
            <v>5.1707317073170701E-2</v>
          </cell>
          <cell r="K176">
            <v>0.16585365853658501</v>
          </cell>
          <cell r="L176">
            <v>8.58536585365854E-2</v>
          </cell>
          <cell r="M176">
            <v>2.2439024390243902E-2</v>
          </cell>
          <cell r="N176">
            <v>0.99999999999999978</v>
          </cell>
          <cell r="P176">
            <v>36</v>
          </cell>
          <cell r="Q176">
            <v>75.999999999999972</v>
          </cell>
          <cell r="R176">
            <v>579.00000000000023</v>
          </cell>
          <cell r="S176">
            <v>52.999999999999972</v>
          </cell>
          <cell r="T176">
            <v>169.99999999999963</v>
          </cell>
          <cell r="U176">
            <v>88.000000000000028</v>
          </cell>
          <cell r="V176">
            <v>23</v>
          </cell>
          <cell r="W176">
            <v>1025</v>
          </cell>
          <cell r="Y176">
            <v>28158.895191488387</v>
          </cell>
          <cell r="Z176">
            <v>46662.350813135461</v>
          </cell>
          <cell r="AA176">
            <v>331144.57033431344</v>
          </cell>
          <cell r="AB176">
            <v>27637.434169423774</v>
          </cell>
          <cell r="AC176">
            <v>63626.65535352724</v>
          </cell>
          <cell r="AD176">
            <v>24794.630533007108</v>
          </cell>
          <cell r="AE176">
            <v>522024.53639489535</v>
          </cell>
          <cell r="AG176">
            <v>464563.17099664494</v>
          </cell>
          <cell r="AH176">
            <v>57461.365398250404</v>
          </cell>
          <cell r="AI176">
            <v>0.11007407007164634</v>
          </cell>
        </row>
        <row r="177">
          <cell r="E177">
            <v>4003</v>
          </cell>
          <cell r="F177" t="str">
            <v>Firth Park Academy</v>
          </cell>
          <cell r="G177">
            <v>0.17196904557179701</v>
          </cell>
          <cell r="H177">
            <v>0.50386930352536496</v>
          </cell>
          <cell r="I177">
            <v>0.23559759243336201</v>
          </cell>
          <cell r="J177">
            <v>1.46173688736028E-2</v>
          </cell>
          <cell r="K177">
            <v>2.5795356835769601E-2</v>
          </cell>
          <cell r="L177">
            <v>1.54772141014617E-2</v>
          </cell>
          <cell r="M177">
            <v>3.26741186586414E-2</v>
          </cell>
          <cell r="N177">
            <v>0.99999999999999956</v>
          </cell>
          <cell r="P177">
            <v>200.51590713671533</v>
          </cell>
          <cell r="Q177">
            <v>587.51160791057555</v>
          </cell>
          <cell r="R177">
            <v>274.70679277730011</v>
          </cell>
          <cell r="S177">
            <v>17.043852106620864</v>
          </cell>
          <cell r="T177">
            <v>30.077386070507355</v>
          </cell>
          <cell r="U177">
            <v>18.046431642304341</v>
          </cell>
          <cell r="V177">
            <v>38.098022355975871</v>
          </cell>
          <cell r="W177">
            <v>1166</v>
          </cell>
          <cell r="Y177">
            <v>156841.84481358292</v>
          </cell>
          <cell r="Z177">
            <v>360719.37835674442</v>
          </cell>
          <cell r="AA177">
            <v>157111.68024552034</v>
          </cell>
          <cell r="AB177">
            <v>8887.7045394363977</v>
          </cell>
          <cell r="AC177">
            <v>11257.196926136216</v>
          </cell>
          <cell r="AD177">
            <v>5084.7114205693715</v>
          </cell>
          <cell r="AE177">
            <v>699902.51630198967</v>
          </cell>
          <cell r="AG177">
            <v>626941.63747041626</v>
          </cell>
          <cell r="AH177">
            <v>72960.878831573413</v>
          </cell>
          <cell r="AI177">
            <v>0.10424434422249269</v>
          </cell>
        </row>
        <row r="178">
          <cell r="E178">
            <v>4007</v>
          </cell>
          <cell r="F178" t="str">
            <v>Forge Valley School</v>
          </cell>
          <cell r="G178">
            <v>2.4135156878519699E-2</v>
          </cell>
          <cell r="H178">
            <v>5.0683829444891401E-2</v>
          </cell>
          <cell r="I178">
            <v>6.59694288012872E-2</v>
          </cell>
          <cell r="J178">
            <v>1.12630732099759E-2</v>
          </cell>
          <cell r="K178">
            <v>0.13113435237328999</v>
          </cell>
          <cell r="L178">
            <v>8.1255028157682999E-2</v>
          </cell>
          <cell r="M178">
            <v>0.63555913113435203</v>
          </cell>
          <cell r="N178">
            <v>0.99999999999999922</v>
          </cell>
          <cell r="P178">
            <v>29.999999999999986</v>
          </cell>
          <cell r="Q178">
            <v>63.000000000000014</v>
          </cell>
          <cell r="R178">
            <v>81.999999999999986</v>
          </cell>
          <cell r="S178">
            <v>14.000000000000043</v>
          </cell>
          <cell r="T178">
            <v>162.99999999999946</v>
          </cell>
          <cell r="U178">
            <v>100.99999999999997</v>
          </cell>
          <cell r="V178">
            <v>789.99999999999955</v>
          </cell>
          <cell r="W178">
            <v>1243</v>
          </cell>
          <cell r="Y178">
            <v>23465.745992906977</v>
          </cell>
          <cell r="Z178">
            <v>38680.632910888628</v>
          </cell>
          <cell r="AA178">
            <v>46897.849339229164</v>
          </cell>
          <cell r="AB178">
            <v>7300.4543089044191</v>
          </cell>
          <cell r="AC178">
            <v>61006.734250734873</v>
          </cell>
          <cell r="AD178">
            <v>28457.473679928593</v>
          </cell>
          <cell r="AE178">
            <v>205808.89048259266</v>
          </cell>
          <cell r="AG178">
            <v>185786.44325777478</v>
          </cell>
          <cell r="AH178">
            <v>20022.447224817879</v>
          </cell>
          <cell r="AI178">
            <v>9.7286600097148762E-2</v>
          </cell>
        </row>
        <row r="179">
          <cell r="E179">
            <v>4278</v>
          </cell>
          <cell r="F179" t="str">
            <v>Handsworth Grange Community Sports College</v>
          </cell>
          <cell r="G179">
            <v>1.2807881773398999E-2</v>
          </cell>
          <cell r="H179">
            <v>8.0788177339901499E-2</v>
          </cell>
          <cell r="I179">
            <v>0.17733990147783299</v>
          </cell>
          <cell r="J179">
            <v>5.0246305418719203E-2</v>
          </cell>
          <cell r="K179">
            <v>8.17733990147783E-2</v>
          </cell>
          <cell r="L179">
            <v>0.133990147783251</v>
          </cell>
          <cell r="M179">
            <v>0.46305418719211799</v>
          </cell>
          <cell r="N179">
            <v>1</v>
          </cell>
          <cell r="P179">
            <v>12.999999999999984</v>
          </cell>
          <cell r="Q179">
            <v>82.000000000000014</v>
          </cell>
          <cell r="R179">
            <v>180.00000000000048</v>
          </cell>
          <cell r="S179">
            <v>50.999999999999993</v>
          </cell>
          <cell r="T179">
            <v>82.999999999999972</v>
          </cell>
          <cell r="U179">
            <v>135.99999999999977</v>
          </cell>
          <cell r="V179">
            <v>469.99999999999977</v>
          </cell>
          <cell r="W179">
            <v>1015</v>
          </cell>
          <cell r="Y179">
            <v>10168.489930259682</v>
          </cell>
          <cell r="Z179">
            <v>50346.220614172496</v>
          </cell>
          <cell r="AA179">
            <v>102946.49854952772</v>
          </cell>
          <cell r="AB179">
            <v>26594.512125294586</v>
          </cell>
          <cell r="AC179">
            <v>31064.778790251592</v>
          </cell>
          <cell r="AD179">
            <v>38318.974460101817</v>
          </cell>
          <cell r="AE179">
            <v>259439.47446960787</v>
          </cell>
          <cell r="AG179">
            <v>267358.02027903905</v>
          </cell>
          <cell r="AH179">
            <v>-7918.5458094311762</v>
          </cell>
          <cell r="AI179">
            <v>-3.0521746259391212E-2</v>
          </cell>
        </row>
        <row r="180">
          <cell r="E180">
            <v>4257</v>
          </cell>
          <cell r="F180" t="str">
            <v>High Storrs School</v>
          </cell>
          <cell r="G180">
            <v>0</v>
          </cell>
          <cell r="H180">
            <v>1.0708401976935801E-2</v>
          </cell>
          <cell r="I180">
            <v>5.7660626029653996E-3</v>
          </cell>
          <cell r="J180">
            <v>1.6474464579901199E-3</v>
          </cell>
          <cell r="K180">
            <v>9.0609555189456303E-3</v>
          </cell>
          <cell r="L180">
            <v>9.8846787479406895E-3</v>
          </cell>
          <cell r="M180">
            <v>0.96293245469522204</v>
          </cell>
          <cell r="N180">
            <v>0.99999999999999967</v>
          </cell>
          <cell r="P180">
            <v>0</v>
          </cell>
          <cell r="Q180">
            <v>13.000000000000062</v>
          </cell>
          <cell r="R180">
            <v>6.9999999999999947</v>
          </cell>
          <cell r="S180">
            <v>2.0000000000000058</v>
          </cell>
          <cell r="T180">
            <v>10.999999999999995</v>
          </cell>
          <cell r="U180">
            <v>11.999999999999996</v>
          </cell>
          <cell r="V180">
            <v>1168.9999999999995</v>
          </cell>
          <cell r="W180">
            <v>1214</v>
          </cell>
          <cell r="Y180">
            <v>0</v>
          </cell>
          <cell r="Z180">
            <v>7981.7179022468963</v>
          </cell>
          <cell r="AA180">
            <v>4003.4749435927311</v>
          </cell>
          <cell r="AB180">
            <v>1042.9220441292025</v>
          </cell>
          <cell r="AC180">
            <v>4117.0188758164759</v>
          </cell>
          <cell r="AD180">
            <v>3381.0859817736941</v>
          </cell>
          <cell r="AE180">
            <v>20526.219747558996</v>
          </cell>
          <cell r="AG180">
            <v>26386.635739418507</v>
          </cell>
          <cell r="AH180">
            <v>-5860.4159918595105</v>
          </cell>
          <cell r="AI180">
            <v>-0.28550878164287596</v>
          </cell>
        </row>
        <row r="181">
          <cell r="E181">
            <v>4230</v>
          </cell>
          <cell r="F181" t="str">
            <v>King Ecgbert School</v>
          </cell>
          <cell r="G181">
            <v>6.7961165048543697E-3</v>
          </cell>
          <cell r="H181">
            <v>3.3980582524271802E-2</v>
          </cell>
          <cell r="I181">
            <v>1.2621359223301E-2</v>
          </cell>
          <cell r="J181">
            <v>1.45631067961165E-2</v>
          </cell>
          <cell r="K181">
            <v>5.7281553398058301E-2</v>
          </cell>
          <cell r="L181">
            <v>5.2427184466019398E-2</v>
          </cell>
          <cell r="M181">
            <v>0.82233009708737903</v>
          </cell>
          <cell r="N181">
            <v>1.0000000000000004</v>
          </cell>
          <cell r="P181">
            <v>7.0000000000000009</v>
          </cell>
          <cell r="Q181">
            <v>34.999999999999957</v>
          </cell>
          <cell r="R181">
            <v>13.00000000000003</v>
          </cell>
          <cell r="S181">
            <v>14.999999999999995</v>
          </cell>
          <cell r="T181">
            <v>59.00000000000005</v>
          </cell>
          <cell r="U181">
            <v>53.999999999999979</v>
          </cell>
          <cell r="V181">
            <v>847.00000000000045</v>
          </cell>
          <cell r="W181">
            <v>1030</v>
          </cell>
          <cell r="Y181">
            <v>5475.3407316782987</v>
          </cell>
          <cell r="Z181">
            <v>21489.240506049209</v>
          </cell>
          <cell r="AA181">
            <v>7435.0248952436659</v>
          </cell>
          <cell r="AB181">
            <v>7821.9153309689937</v>
          </cell>
          <cell r="AC181">
            <v>22082.192152106581</v>
          </cell>
          <cell r="AD181">
            <v>15214.886917981623</v>
          </cell>
          <cell r="AE181">
            <v>79518.600534028374</v>
          </cell>
          <cell r="AG181">
            <v>68547.942132798969</v>
          </cell>
          <cell r="AH181">
            <v>10970.658401229404</v>
          </cell>
          <cell r="AI181">
            <v>0.13796342399832268</v>
          </cell>
        </row>
        <row r="182">
          <cell r="E182">
            <v>4259</v>
          </cell>
          <cell r="F182" t="str">
            <v>King Edward VII School</v>
          </cell>
          <cell r="G182">
            <v>2.5416301489921099E-2</v>
          </cell>
          <cell r="H182">
            <v>0.110429447852761</v>
          </cell>
          <cell r="I182">
            <v>5.17090271691499E-2</v>
          </cell>
          <cell r="J182">
            <v>6.5731814198071906E-2</v>
          </cell>
          <cell r="K182">
            <v>0.159509202453988</v>
          </cell>
          <cell r="L182">
            <v>4.2068361086766003E-2</v>
          </cell>
          <cell r="M182">
            <v>0.54513584574934304</v>
          </cell>
          <cell r="N182">
            <v>1.0000000000000009</v>
          </cell>
          <cell r="P182">
            <v>28.999999999999975</v>
          </cell>
          <cell r="Q182">
            <v>126.0000000000003</v>
          </cell>
          <cell r="R182">
            <v>59.000000000000036</v>
          </cell>
          <cell r="S182">
            <v>75.000000000000043</v>
          </cell>
          <cell r="T182">
            <v>182.00000000000031</v>
          </cell>
          <cell r="U182">
            <v>48.000000000000007</v>
          </cell>
          <cell r="V182">
            <v>622.00000000000045</v>
          </cell>
          <cell r="W182">
            <v>1141</v>
          </cell>
          <cell r="Y182">
            <v>22683.554459810071</v>
          </cell>
          <cell r="Z182">
            <v>77361.26582177743</v>
          </cell>
          <cell r="AA182">
            <v>33743.574524567353</v>
          </cell>
          <cell r="AB182">
            <v>39109.576654845005</v>
          </cell>
          <cell r="AC182">
            <v>68117.948672600018</v>
          </cell>
          <cell r="AD182">
            <v>13524.343927094784</v>
          </cell>
          <cell r="AE182">
            <v>254540.26406069467</v>
          </cell>
          <cell r="AG182">
            <v>234764.8455005039</v>
          </cell>
          <cell r="AH182">
            <v>19775.418560190767</v>
          </cell>
          <cell r="AI182">
            <v>7.7690728550023638E-2</v>
          </cell>
        </row>
        <row r="183">
          <cell r="E183">
            <v>4279</v>
          </cell>
          <cell r="F183" t="str">
            <v>Meadowhead School Academy Trust</v>
          </cell>
          <cell r="G183">
            <v>4.0268456375838903E-2</v>
          </cell>
          <cell r="H183">
            <v>0.20744356314826101</v>
          </cell>
          <cell r="I183">
            <v>0.11470408785845</v>
          </cell>
          <cell r="J183">
            <v>3.6607687614398997E-2</v>
          </cell>
          <cell r="K183">
            <v>3.7827943868212303E-2</v>
          </cell>
          <cell r="L183">
            <v>4.0268456375838903E-2</v>
          </cell>
          <cell r="M183">
            <v>0.52287980475899898</v>
          </cell>
          <cell r="N183">
            <v>0.99999999999999911</v>
          </cell>
          <cell r="P183">
            <v>66.040268456375799</v>
          </cell>
          <cell r="Q183">
            <v>340.20744356314805</v>
          </cell>
          <cell r="R183">
            <v>188.114704087858</v>
          </cell>
          <cell r="S183">
            <v>60.036607687614357</v>
          </cell>
          <cell r="T183">
            <v>62.03782794386818</v>
          </cell>
          <cell r="U183">
            <v>66.040268456375799</v>
          </cell>
          <cell r="V183">
            <v>857.5228798047583</v>
          </cell>
          <cell r="W183">
            <v>1640</v>
          </cell>
          <cell r="Y183">
            <v>51656.13883002341</v>
          </cell>
          <cell r="Z183">
            <v>208879.98790504743</v>
          </cell>
          <cell r="AA183">
            <v>107587.50061958587</v>
          </cell>
          <cell r="AB183">
            <v>31306.75080607479</v>
          </cell>
          <cell r="AC183">
            <v>23219.173514505477</v>
          </cell>
          <cell r="AD183">
            <v>18607.318825868646</v>
          </cell>
          <cell r="AE183">
            <v>441256.87050110562</v>
          </cell>
          <cell r="AG183">
            <v>394693.05019796651</v>
          </cell>
          <cell r="AH183">
            <v>46563.820303139102</v>
          </cell>
          <cell r="AI183">
            <v>0.10552542842054724</v>
          </cell>
        </row>
        <row r="184">
          <cell r="E184">
            <v>4015</v>
          </cell>
          <cell r="F184" t="str">
            <v>Mercia School</v>
          </cell>
          <cell r="G184">
            <v>1.1450381679389301E-2</v>
          </cell>
          <cell r="H184">
            <v>5.0890585241730298E-2</v>
          </cell>
          <cell r="I184">
            <v>1.6539440203562301E-2</v>
          </cell>
          <cell r="J184">
            <v>1.9083969465648901E-2</v>
          </cell>
          <cell r="K184">
            <v>4.58015267175573E-2</v>
          </cell>
          <cell r="L184">
            <v>0.10432569974554699</v>
          </cell>
          <cell r="M184">
            <v>0.75190839694656497</v>
          </cell>
          <cell r="N184">
            <v>1</v>
          </cell>
          <cell r="P184">
            <v>8.9999999999999911</v>
          </cell>
          <cell r="Q184">
            <v>40.000000000000014</v>
          </cell>
          <cell r="R184">
            <v>12.99999999999997</v>
          </cell>
          <cell r="S184">
            <v>15.000000000000036</v>
          </cell>
          <cell r="T184">
            <v>36.000000000000036</v>
          </cell>
          <cell r="U184">
            <v>81.999999999999943</v>
          </cell>
          <cell r="V184">
            <v>591.00000000000011</v>
          </cell>
          <cell r="W184">
            <v>786</v>
          </cell>
          <cell r="Y184">
            <v>7039.7237978720896</v>
          </cell>
          <cell r="Z184">
            <v>24559.13200691342</v>
          </cell>
          <cell r="AA184">
            <v>7435.0248952436314</v>
          </cell>
          <cell r="AB184">
            <v>7821.9153309690155</v>
          </cell>
          <cell r="AC184">
            <v>13473.879957217576</v>
          </cell>
          <cell r="AD184">
            <v>23104.087542120236</v>
          </cell>
          <cell r="AE184">
            <v>83433.763530335971</v>
          </cell>
          <cell r="AG184">
            <v>75048.803692568355</v>
          </cell>
          <cell r="AH184">
            <v>8384.9598377676157</v>
          </cell>
          <cell r="AI184">
            <v>0.10049840116248501</v>
          </cell>
        </row>
        <row r="185">
          <cell r="E185">
            <v>4008</v>
          </cell>
          <cell r="F185" t="str">
            <v>Newfield Secondary School</v>
          </cell>
          <cell r="G185">
            <v>0.14218009478672999</v>
          </cell>
          <cell r="H185">
            <v>0.11848341232227499</v>
          </cell>
          <cell r="I185">
            <v>9.8578199052132706E-2</v>
          </cell>
          <cell r="J185">
            <v>8.2464454976303295E-2</v>
          </cell>
          <cell r="K185">
            <v>5.4976303317535502E-2</v>
          </cell>
          <cell r="L185">
            <v>6.06635071090047E-2</v>
          </cell>
          <cell r="M185">
            <v>0.44265402843601898</v>
          </cell>
          <cell r="N185">
            <v>1.0000000000000002</v>
          </cell>
          <cell r="P185">
            <v>150.00000000000014</v>
          </cell>
          <cell r="Q185">
            <v>125.00000000000011</v>
          </cell>
          <cell r="R185">
            <v>104</v>
          </cell>
          <cell r="S185">
            <v>86.999999999999972</v>
          </cell>
          <cell r="T185">
            <v>57.999999999999957</v>
          </cell>
          <cell r="U185">
            <v>63.999999999999957</v>
          </cell>
          <cell r="V185">
            <v>467</v>
          </cell>
          <cell r="W185">
            <v>1055</v>
          </cell>
          <cell r="Y185">
            <v>117328.72996453506</v>
          </cell>
          <cell r="Z185">
            <v>76747.287521604478</v>
          </cell>
          <cell r="AA185">
            <v>59480.199161949189</v>
          </cell>
          <cell r="AB185">
            <v>45367.108919620165</v>
          </cell>
          <cell r="AC185">
            <v>21707.917708850502</v>
          </cell>
          <cell r="AD185">
            <v>18032.458569459697</v>
          </cell>
          <cell r="AE185">
            <v>338663.70184601913</v>
          </cell>
          <cell r="AG185">
            <v>331600.81868866936</v>
          </cell>
          <cell r="AH185">
            <v>7062.8831573497737</v>
          </cell>
          <cell r="AI185">
            <v>2.085515252697813E-2</v>
          </cell>
        </row>
        <row r="186">
          <cell r="E186">
            <v>5400</v>
          </cell>
          <cell r="F186" t="str">
            <v>Notre Dame High School</v>
          </cell>
          <cell r="G186">
            <v>6.3849765258216007E-2</v>
          </cell>
          <cell r="H186">
            <v>0.13802816901408499</v>
          </cell>
          <cell r="I186">
            <v>7.2300469483568094E-2</v>
          </cell>
          <cell r="J186">
            <v>3.2863849765258198E-2</v>
          </cell>
          <cell r="K186">
            <v>7.8873239436619696E-2</v>
          </cell>
          <cell r="L186">
            <v>5.0704225352112699E-2</v>
          </cell>
          <cell r="M186">
            <v>0.56338028169014098</v>
          </cell>
          <cell r="N186">
            <v>1.0000000000000007</v>
          </cell>
          <cell r="P186">
            <v>68.12769953051648</v>
          </cell>
          <cell r="Q186">
            <v>147.2760563380287</v>
          </cell>
          <cell r="R186">
            <v>77.144600938967159</v>
          </cell>
          <cell r="S186">
            <v>35.065727699530498</v>
          </cell>
          <cell r="T186">
            <v>84.157746478873221</v>
          </cell>
          <cell r="U186">
            <v>54.101408450704248</v>
          </cell>
          <cell r="V186">
            <v>601.12676056338046</v>
          </cell>
          <cell r="W186">
            <v>1067</v>
          </cell>
          <cell r="Y186">
            <v>53288.909742139615</v>
          </cell>
          <cell r="Z186">
            <v>90424.302726581576</v>
          </cell>
          <cell r="AA186">
            <v>44120.925270373649</v>
          </cell>
          <cell r="AB186">
            <v>18285.410205636119</v>
          </cell>
          <cell r="AC186">
            <v>31498.093709063523</v>
          </cell>
          <cell r="AD186">
            <v>15243.459475574089</v>
          </cell>
          <cell r="AE186">
            <v>252861.10112936856</v>
          </cell>
          <cell r="AG186">
            <v>216078.74530794853</v>
          </cell>
          <cell r="AH186">
            <v>36782.355821420031</v>
          </cell>
          <cell r="AI186">
            <v>0.14546466679586861</v>
          </cell>
        </row>
        <row r="187">
          <cell r="E187">
            <v>4006</v>
          </cell>
          <cell r="F187" t="str">
            <v>Outwood Academy City</v>
          </cell>
          <cell r="G187">
            <v>0.15452930728241601</v>
          </cell>
          <cell r="H187">
            <v>0.15452930728241601</v>
          </cell>
          <cell r="I187">
            <v>9.9467140319715805E-2</v>
          </cell>
          <cell r="J187">
            <v>0.124333925399645</v>
          </cell>
          <cell r="K187">
            <v>0.105683836589698</v>
          </cell>
          <cell r="L187">
            <v>0.17673179396092401</v>
          </cell>
          <cell r="M187">
            <v>0.184724689165187</v>
          </cell>
          <cell r="N187">
            <v>1.0000000000000018</v>
          </cell>
          <cell r="P187">
            <v>174.00000000000043</v>
          </cell>
          <cell r="Q187">
            <v>174.00000000000043</v>
          </cell>
          <cell r="R187">
            <v>112</v>
          </cell>
          <cell r="S187">
            <v>140.00000000000026</v>
          </cell>
          <cell r="T187">
            <v>118.99999999999994</v>
          </cell>
          <cell r="U187">
            <v>199.00000000000043</v>
          </cell>
          <cell r="V187">
            <v>208.00000000000057</v>
          </cell>
          <cell r="W187">
            <v>1126</v>
          </cell>
          <cell r="Y187">
            <v>136101.32675886087</v>
          </cell>
          <cell r="Z187">
            <v>106832.2242300736</v>
          </cell>
          <cell r="AA187">
            <v>64055.599097483748</v>
          </cell>
          <cell r="AB187">
            <v>73004.543089044106</v>
          </cell>
          <cell r="AC187">
            <v>44538.658747469148</v>
          </cell>
          <cell r="AD187">
            <v>56069.675864413897</v>
          </cell>
          <cell r="AE187">
            <v>480602.02778734535</v>
          </cell>
          <cell r="AG187">
            <v>444107.86361745605</v>
          </cell>
          <cell r="AH187">
            <v>36494.164169889293</v>
          </cell>
          <cell r="AI187">
            <v>7.5934270061043252E-2</v>
          </cell>
        </row>
        <row r="188">
          <cell r="E188">
            <v>6907</v>
          </cell>
          <cell r="F188" t="str">
            <v>Parkwood E-ACT Academy</v>
          </cell>
          <cell r="G188">
            <v>0.19672131147541</v>
          </cell>
          <cell r="H188">
            <v>0.31778058007566201</v>
          </cell>
          <cell r="I188">
            <v>0.221941992433796</v>
          </cell>
          <cell r="J188">
            <v>3.7831021437578799E-2</v>
          </cell>
          <cell r="K188">
            <v>0.134930643127364</v>
          </cell>
          <cell r="L188">
            <v>2.77427490542245E-2</v>
          </cell>
          <cell r="M188">
            <v>6.3051702395964707E-2</v>
          </cell>
          <cell r="N188">
            <v>0.99999999999999989</v>
          </cell>
          <cell r="P188">
            <v>156.00000000000014</v>
          </cell>
          <cell r="Q188">
            <v>251.99999999999997</v>
          </cell>
          <cell r="R188">
            <v>176.00000000000023</v>
          </cell>
          <cell r="S188">
            <v>29.999999999999989</v>
          </cell>
          <cell r="T188">
            <v>106.99999999999964</v>
          </cell>
          <cell r="U188">
            <v>22.000000000000028</v>
          </cell>
          <cell r="V188">
            <v>50.000000000000014</v>
          </cell>
          <cell r="W188">
            <v>793</v>
          </cell>
          <cell r="Y188">
            <v>122021.87916311646</v>
          </cell>
          <cell r="Z188">
            <v>154722.53164355445</v>
          </cell>
          <cell r="AA188">
            <v>100658.7985817603</v>
          </cell>
          <cell r="AB188">
            <v>15643.830661937987</v>
          </cell>
          <cell r="AC188">
            <v>40047.365428396515</v>
          </cell>
          <cell r="AD188">
            <v>6198.6576332517825</v>
          </cell>
          <cell r="AE188">
            <v>439293.06311201752</v>
          </cell>
          <cell r="AG188">
            <v>408248.73688144836</v>
          </cell>
          <cell r="AH188">
            <v>31044.326230569161</v>
          </cell>
          <cell r="AI188">
            <v>7.0668828710033632E-2</v>
          </cell>
        </row>
        <row r="189">
          <cell r="E189">
            <v>6905</v>
          </cell>
          <cell r="F189" t="str">
            <v>Sheffield Park Academy</v>
          </cell>
          <cell r="G189">
            <v>0.22740524781341101</v>
          </cell>
          <cell r="H189">
            <v>0.39261418853255597</v>
          </cell>
          <cell r="I189">
            <v>4.08163265306122E-2</v>
          </cell>
          <cell r="J189">
            <v>0.17881438289601601</v>
          </cell>
          <cell r="K189">
            <v>0.133138969873664</v>
          </cell>
          <cell r="L189">
            <v>5.83090379008746E-3</v>
          </cell>
          <cell r="M189">
            <v>2.1379980563653998E-2</v>
          </cell>
          <cell r="N189">
            <v>1.0000000000000007</v>
          </cell>
          <cell r="P189">
            <v>233.99999999999994</v>
          </cell>
          <cell r="Q189">
            <v>404.00000000000011</v>
          </cell>
          <cell r="R189">
            <v>41.99999999999995</v>
          </cell>
          <cell r="S189">
            <v>184.00000000000048</v>
          </cell>
          <cell r="T189">
            <v>137.00000000000026</v>
          </cell>
          <cell r="U189">
            <v>5.9999999999999964</v>
          </cell>
          <cell r="V189">
            <v>21.999999999999964</v>
          </cell>
          <cell r="W189">
            <v>1029</v>
          </cell>
          <cell r="Y189">
            <v>183032.81874467447</v>
          </cell>
          <cell r="Z189">
            <v>248047.23326982552</v>
          </cell>
          <cell r="AA189">
            <v>24020.849661556374</v>
          </cell>
          <cell r="AB189">
            <v>95948.828059886611</v>
          </cell>
          <cell r="AC189">
            <v>51275.598726078046</v>
          </cell>
          <cell r="AD189">
            <v>1690.5429908868466</v>
          </cell>
          <cell r="AE189">
            <v>604015.87145290792</v>
          </cell>
          <cell r="AG189">
            <v>546147.41748887161</v>
          </cell>
          <cell r="AH189">
            <v>57868.453964036307</v>
          </cell>
          <cell r="AI189">
            <v>9.5806181093948325E-2</v>
          </cell>
        </row>
        <row r="190">
          <cell r="E190">
            <v>6906</v>
          </cell>
          <cell r="F190" t="str">
            <v>Sheffield Springs Academy</v>
          </cell>
          <cell r="G190">
            <v>0.30163599182004103</v>
          </cell>
          <cell r="H190">
            <v>0.335378323108384</v>
          </cell>
          <cell r="I190">
            <v>0.107361963190184</v>
          </cell>
          <cell r="J190">
            <v>7.1574642126789406E-2</v>
          </cell>
          <cell r="K190">
            <v>3.3742331288343599E-2</v>
          </cell>
          <cell r="L190">
            <v>2.8629856850715701E-2</v>
          </cell>
          <cell r="M190">
            <v>0.121676891615542</v>
          </cell>
          <cell r="N190">
            <v>0.99999999999999978</v>
          </cell>
          <cell r="P190">
            <v>295.90490797546028</v>
          </cell>
          <cell r="Q190">
            <v>329.00613496932471</v>
          </cell>
          <cell r="R190">
            <v>105.3220858895705</v>
          </cell>
          <cell r="S190">
            <v>70.214723926380401</v>
          </cell>
          <cell r="T190">
            <v>33.101226993865069</v>
          </cell>
          <cell r="U190">
            <v>28.085889570552101</v>
          </cell>
          <cell r="V190">
            <v>119.36503067484671</v>
          </cell>
          <cell r="W190">
            <v>981</v>
          </cell>
          <cell r="Y190">
            <v>231454.3136202223</v>
          </cell>
          <cell r="Z190">
            <v>202002.6274949004</v>
          </cell>
          <cell r="AA190">
            <v>60236.333123688193</v>
          </cell>
          <cell r="AB190">
            <v>36614.241702634034</v>
          </cell>
          <cell r="AC190">
            <v>12388.943304220764</v>
          </cell>
          <cell r="AD190">
            <v>7913.4006260531451</v>
          </cell>
          <cell r="AE190">
            <v>550609.8598717188</v>
          </cell>
          <cell r="AG190">
            <v>493554.18678234686</v>
          </cell>
          <cell r="AH190">
            <v>57055.673089371936</v>
          </cell>
          <cell r="AI190">
            <v>0.10362268685610675</v>
          </cell>
        </row>
        <row r="191">
          <cell r="E191">
            <v>4229</v>
          </cell>
          <cell r="F191" t="str">
            <v>Silverdale School</v>
          </cell>
          <cell r="G191">
            <v>1.17531831537708E-2</v>
          </cell>
          <cell r="H191">
            <v>5.4848188050930502E-2</v>
          </cell>
          <cell r="I191">
            <v>2.05680705190989E-2</v>
          </cell>
          <cell r="J191">
            <v>1.76297747306562E-2</v>
          </cell>
          <cell r="K191">
            <v>6.9539666993143998E-2</v>
          </cell>
          <cell r="L191">
            <v>1.3712047012732599E-2</v>
          </cell>
          <cell r="M191">
            <v>0.81194906953966695</v>
          </cell>
          <cell r="N191">
            <v>1</v>
          </cell>
          <cell r="P191">
            <v>11.999999999999988</v>
          </cell>
          <cell r="Q191">
            <v>56.000000000000043</v>
          </cell>
          <cell r="R191">
            <v>20.999999999999979</v>
          </cell>
          <cell r="S191">
            <v>17.999999999999979</v>
          </cell>
          <cell r="T191">
            <v>71.000000000000028</v>
          </cell>
          <cell r="U191">
            <v>13.999999999999984</v>
          </cell>
          <cell r="V191">
            <v>829</v>
          </cell>
          <cell r="W191">
            <v>1021</v>
          </cell>
          <cell r="Y191">
            <v>9386.2983971627855</v>
          </cell>
          <cell r="Z191">
            <v>34382.7848096788</v>
          </cell>
          <cell r="AA191">
            <v>12010.424830778189</v>
          </cell>
          <cell r="AB191">
            <v>9386.2983971627855</v>
          </cell>
          <cell r="AC191">
            <v>26573.485471179094</v>
          </cell>
          <cell r="AD191">
            <v>3944.6003120693067</v>
          </cell>
          <cell r="AE191">
            <v>95683.89221803096</v>
          </cell>
          <cell r="AG191">
            <v>91082.549024875392</v>
          </cell>
          <cell r="AH191">
            <v>4601.3431931555679</v>
          </cell>
          <cell r="AI191">
            <v>4.8089005228494214E-2</v>
          </cell>
        </row>
        <row r="192">
          <cell r="E192">
            <v>4271</v>
          </cell>
          <cell r="F192" t="str">
            <v>Stocksbridge High School</v>
          </cell>
          <cell r="G192">
            <v>6.30517023959647E-3</v>
          </cell>
          <cell r="H192">
            <v>6.5573770491803296E-2</v>
          </cell>
          <cell r="I192">
            <v>0</v>
          </cell>
          <cell r="J192">
            <v>0.21689785624211899</v>
          </cell>
          <cell r="K192">
            <v>4.7919293820933198E-2</v>
          </cell>
          <cell r="L192">
            <v>0.112232030264817</v>
          </cell>
          <cell r="M192">
            <v>0.55107187894073095</v>
          </cell>
          <cell r="N192">
            <v>0.99999999999999989</v>
          </cell>
          <cell r="P192">
            <v>5.0000000000000009</v>
          </cell>
          <cell r="Q192">
            <v>52.000000000000014</v>
          </cell>
          <cell r="R192">
            <v>0</v>
          </cell>
          <cell r="S192">
            <v>172.00000000000037</v>
          </cell>
          <cell r="T192">
            <v>38.000000000000028</v>
          </cell>
          <cell r="U192">
            <v>88.999999999999886</v>
          </cell>
          <cell r="V192">
            <v>436.99999999999966</v>
          </cell>
          <cell r="W192">
            <v>793</v>
          </cell>
          <cell r="Y192">
            <v>3910.9576654844991</v>
          </cell>
          <cell r="Z192">
            <v>31926.871608987443</v>
          </cell>
          <cell r="AA192">
            <v>0</v>
          </cell>
          <cell r="AB192">
            <v>89691.295795111349</v>
          </cell>
          <cell r="AC192">
            <v>14222.42884372966</v>
          </cell>
          <cell r="AD192">
            <v>25076.387698154875</v>
          </cell>
          <cell r="AE192">
            <v>164827.94161146783</v>
          </cell>
          <cell r="AG192">
            <v>147405.5454026091</v>
          </cell>
          <cell r="AH192">
            <v>17422.396208858729</v>
          </cell>
          <cell r="AI192">
            <v>0.10570050222386915</v>
          </cell>
        </row>
        <row r="193">
          <cell r="E193">
            <v>4234</v>
          </cell>
          <cell r="F193" t="str">
            <v>Tapton School</v>
          </cell>
          <cell r="G193">
            <v>4.4280442804428E-3</v>
          </cell>
          <cell r="H193">
            <v>5.4612546125461299E-2</v>
          </cell>
          <cell r="I193">
            <v>1.1808118081180799E-2</v>
          </cell>
          <cell r="J193">
            <v>8.1180811808118092E-3</v>
          </cell>
          <cell r="K193">
            <v>9.2250922509225106E-2</v>
          </cell>
          <cell r="L193">
            <v>8.8560885608856103E-3</v>
          </cell>
          <cell r="M193">
            <v>0.81992619926199295</v>
          </cell>
          <cell r="N193">
            <v>1.0000000000000004</v>
          </cell>
          <cell r="P193">
            <v>6.0088560885608793</v>
          </cell>
          <cell r="Q193">
            <v>74.109225092250981</v>
          </cell>
          <cell r="R193">
            <v>16.023616236162344</v>
          </cell>
          <cell r="S193">
            <v>11.016236162361626</v>
          </cell>
          <cell r="T193">
            <v>125.18450184501847</v>
          </cell>
          <cell r="U193">
            <v>12.017712177121773</v>
          </cell>
          <cell r="V193">
            <v>1112.6398523985245</v>
          </cell>
          <cell r="W193">
            <v>1357</v>
          </cell>
          <cell r="Y193">
            <v>4700.0763560700743</v>
          </cell>
          <cell r="Z193">
            <v>45501.456049266286</v>
          </cell>
          <cell r="AA193">
            <v>9164.30658674595</v>
          </cell>
          <cell r="AB193">
            <v>5744.5377685300973</v>
          </cell>
          <cell r="AC193">
            <v>46853.359732329431</v>
          </cell>
          <cell r="AD193">
            <v>3386.0765145881219</v>
          </cell>
          <cell r="AE193">
            <v>115349.81300752996</v>
          </cell>
          <cell r="AG193">
            <v>105348.17900882913</v>
          </cell>
          <cell r="AH193">
            <v>10001.633998700825</v>
          </cell>
          <cell r="AI193">
            <v>8.6706980600375363E-2</v>
          </cell>
        </row>
        <row r="194">
          <cell r="E194">
            <v>4276</v>
          </cell>
          <cell r="F194" t="str">
            <v>The Birley Academy</v>
          </cell>
          <cell r="G194">
            <v>3.2527881040892201E-2</v>
          </cell>
          <cell r="H194">
            <v>6.5055762081784402E-2</v>
          </cell>
          <cell r="I194">
            <v>0.117100371747212</v>
          </cell>
          <cell r="J194">
            <v>0.12360594795539</v>
          </cell>
          <cell r="K194">
            <v>9.0148698884758405E-2</v>
          </cell>
          <cell r="L194">
            <v>8.4572490706319697E-2</v>
          </cell>
          <cell r="M194">
            <v>0.48698884758364303</v>
          </cell>
          <cell r="N194">
            <v>0.99999999999999967</v>
          </cell>
          <cell r="P194">
            <v>35.000000000000007</v>
          </cell>
          <cell r="Q194">
            <v>70.000000000000014</v>
          </cell>
          <cell r="R194">
            <v>126.00000000000011</v>
          </cell>
          <cell r="S194">
            <v>132.99999999999963</v>
          </cell>
          <cell r="T194">
            <v>97.000000000000043</v>
          </cell>
          <cell r="U194">
            <v>91</v>
          </cell>
          <cell r="V194">
            <v>523.99999999999989</v>
          </cell>
          <cell r="W194">
            <v>1076</v>
          </cell>
          <cell r="Y194">
            <v>27376.703658391492</v>
          </cell>
          <cell r="Z194">
            <v>42978.481012098477</v>
          </cell>
          <cell r="AA194">
            <v>72062.54898466928</v>
          </cell>
          <cell r="AB194">
            <v>69354.315934591577</v>
          </cell>
          <cell r="AC194">
            <v>36304.620995836223</v>
          </cell>
          <cell r="AD194">
            <v>25639.902028450524</v>
          </cell>
          <cell r="AE194">
            <v>273716.57261403755</v>
          </cell>
          <cell r="AG194">
            <v>260546.6640538543</v>
          </cell>
          <cell r="AH194">
            <v>13169.908560183248</v>
          </cell>
          <cell r="AI194">
            <v>4.8115130313113638E-2</v>
          </cell>
        </row>
        <row r="195">
          <cell r="E195">
            <v>4004</v>
          </cell>
          <cell r="F195" t="str">
            <v>UTC Sheffield City Centre</v>
          </cell>
          <cell r="G195">
            <v>8.9743589743589702E-2</v>
          </cell>
          <cell r="H195">
            <v>0.16346153846153799</v>
          </cell>
          <cell r="I195">
            <v>6.4102564102564097E-2</v>
          </cell>
          <cell r="J195">
            <v>5.1282051282051301E-2</v>
          </cell>
          <cell r="K195">
            <v>6.0897435897435903E-2</v>
          </cell>
          <cell r="L195">
            <v>9.9358974358974395E-2</v>
          </cell>
          <cell r="M195">
            <v>0.47115384615384598</v>
          </cell>
          <cell r="N195">
            <v>0.99999999999999933</v>
          </cell>
          <cell r="P195">
            <v>27.999999999999986</v>
          </cell>
          <cell r="Q195">
            <v>50.999999999999851</v>
          </cell>
          <cell r="R195">
            <v>20</v>
          </cell>
          <cell r="S195">
            <v>16.000000000000007</v>
          </cell>
          <cell r="T195">
            <v>19</v>
          </cell>
          <cell r="U195">
            <v>31.000000000000011</v>
          </cell>
          <cell r="V195">
            <v>146.99999999999994</v>
          </cell>
          <cell r="W195">
            <v>312</v>
          </cell>
          <cell r="Y195">
            <v>21901.36292671318</v>
          </cell>
          <cell r="Z195">
            <v>31312.893308814506</v>
          </cell>
          <cell r="AA195">
            <v>11438.499838836382</v>
          </cell>
          <cell r="AB195">
            <v>8343.3763530336</v>
          </cell>
          <cell r="AC195">
            <v>7111.2144218648245</v>
          </cell>
          <cell r="AD195">
            <v>8734.4721195820493</v>
          </cell>
          <cell r="AE195">
            <v>88841.818968844556</v>
          </cell>
          <cell r="AG195">
            <v>82572.36049187652</v>
          </cell>
          <cell r="AH195">
            <v>6269.4584769680368</v>
          </cell>
          <cell r="AI195">
            <v>7.056877661596099E-2</v>
          </cell>
        </row>
        <row r="196">
          <cell r="E196">
            <v>4010</v>
          </cell>
          <cell r="F196" t="str">
            <v>UTC Sheffield Olympic Legacy Park</v>
          </cell>
          <cell r="G196">
            <v>8.3333333333333301E-2</v>
          </cell>
          <cell r="H196">
            <v>0.18</v>
          </cell>
          <cell r="I196">
            <v>8.6666666666666697E-2</v>
          </cell>
          <cell r="J196">
            <v>7.0000000000000007E-2</v>
          </cell>
          <cell r="K196">
            <v>0.10666666666666701</v>
          </cell>
          <cell r="L196">
            <v>0.09</v>
          </cell>
          <cell r="M196">
            <v>0.38333333333333303</v>
          </cell>
          <cell r="N196">
            <v>1</v>
          </cell>
          <cell r="P196">
            <v>25.083333333333325</v>
          </cell>
          <cell r="Q196">
            <v>54.18</v>
          </cell>
          <cell r="R196">
            <v>26.086666666666677</v>
          </cell>
          <cell r="S196">
            <v>21.07</v>
          </cell>
          <cell r="T196">
            <v>32.106666666666769</v>
          </cell>
          <cell r="U196">
            <v>27.09</v>
          </cell>
          <cell r="V196">
            <v>115.38333333333324</v>
          </cell>
          <cell r="W196">
            <v>301</v>
          </cell>
          <cell r="Y196">
            <v>19619.970955180561</v>
          </cell>
          <cell r="Z196">
            <v>33265.344303364211</v>
          </cell>
          <cell r="AA196">
            <v>14919.616623122261</v>
          </cell>
          <cell r="AB196">
            <v>10987.183734901117</v>
          </cell>
          <cell r="AC196">
            <v>12016.704791474072</v>
          </cell>
          <cell r="AD196">
            <v>7632.8016038541173</v>
          </cell>
          <cell r="AE196">
            <v>98441.622011896339</v>
          </cell>
          <cell r="AG196">
            <v>97583.549298717</v>
          </cell>
          <cell r="AH196">
            <v>858.07271317933919</v>
          </cell>
          <cell r="AI196">
            <v>8.716564148807341E-3</v>
          </cell>
        </row>
        <row r="197">
          <cell r="E197">
            <v>4013</v>
          </cell>
          <cell r="F197" t="str">
            <v>Westfield School</v>
          </cell>
          <cell r="G197">
            <v>4.0160642570281103E-3</v>
          </cell>
          <cell r="H197">
            <v>5.0602409638554197E-2</v>
          </cell>
          <cell r="I197">
            <v>3.6144578313252997E-2</v>
          </cell>
          <cell r="J197">
            <v>3.8554216867469897E-2</v>
          </cell>
          <cell r="K197">
            <v>5.78313253012048E-2</v>
          </cell>
          <cell r="L197">
            <v>0.25622489959839401</v>
          </cell>
          <cell r="M197">
            <v>0.55662650602409602</v>
          </cell>
          <cell r="N197">
            <v>1</v>
          </cell>
          <cell r="P197">
            <v>4.9999999999999973</v>
          </cell>
          <cell r="Q197">
            <v>62.999999999999972</v>
          </cell>
          <cell r="R197">
            <v>44.999999999999979</v>
          </cell>
          <cell r="S197">
            <v>48.000000000000021</v>
          </cell>
          <cell r="T197">
            <v>71.999999999999972</v>
          </cell>
          <cell r="U197">
            <v>319.00000000000051</v>
          </cell>
          <cell r="V197">
            <v>692.99999999999955</v>
          </cell>
          <cell r="W197">
            <v>1245</v>
          </cell>
          <cell r="Y197">
            <v>3910.9576654844964</v>
          </cell>
          <cell r="Z197">
            <v>38680.632910888606</v>
          </cell>
          <cell r="AA197">
            <v>25736.62463738185</v>
          </cell>
          <cell r="AB197">
            <v>25030.1290591008</v>
          </cell>
          <cell r="AC197">
            <v>26947.759914435115</v>
          </cell>
          <cell r="AD197">
            <v>89880.535682150876</v>
          </cell>
          <cell r="AE197">
            <v>210186.63986944174</v>
          </cell>
          <cell r="AG197">
            <v>187673.91237231862</v>
          </cell>
          <cell r="AH197">
            <v>22512.727497123124</v>
          </cell>
          <cell r="AI197">
            <v>0.10710827058802116</v>
          </cell>
        </row>
        <row r="198">
          <cell r="E198">
            <v>4016</v>
          </cell>
          <cell r="F198" t="str">
            <v>Yewlands Academy</v>
          </cell>
          <cell r="G198">
            <v>0.118756936736959</v>
          </cell>
          <cell r="H198">
            <v>0.407325194228635</v>
          </cell>
          <cell r="I198">
            <v>6.88124306326304E-2</v>
          </cell>
          <cell r="J198">
            <v>4.4395116537180902E-3</v>
          </cell>
          <cell r="K198">
            <v>3.10765815760266E-2</v>
          </cell>
          <cell r="L198">
            <v>0.142064372918979</v>
          </cell>
          <cell r="M198">
            <v>0.22752497225305199</v>
          </cell>
          <cell r="N198">
            <v>1</v>
          </cell>
          <cell r="P198">
            <v>107.00000000000006</v>
          </cell>
          <cell r="Q198">
            <v>367.00000000000011</v>
          </cell>
          <cell r="R198">
            <v>61.999999999999993</v>
          </cell>
          <cell r="S198">
            <v>3.9999999999999991</v>
          </cell>
          <cell r="T198">
            <v>27.999999999999968</v>
          </cell>
          <cell r="U198">
            <v>128.00000000000009</v>
          </cell>
          <cell r="V198">
            <v>204.99999999999983</v>
          </cell>
          <cell r="W198">
            <v>901</v>
          </cell>
          <cell r="Y198">
            <v>83694.494041368307</v>
          </cell>
          <cell r="Z198">
            <v>225330.0361634306</v>
          </cell>
          <cell r="AA198">
            <v>35459.349500392782</v>
          </cell>
          <cell r="AB198">
            <v>2085.8440882583986</v>
          </cell>
          <cell r="AC198">
            <v>10479.684411169204</v>
          </cell>
          <cell r="AD198">
            <v>36064.917138919438</v>
          </cell>
          <cell r="AE198">
            <v>393114.32534353877</v>
          </cell>
          <cell r="AG198">
            <v>355217.39005837834</v>
          </cell>
          <cell r="AH198">
            <v>37896.935285160434</v>
          </cell>
          <cell r="AI198">
            <v>9.6401817084744171E-2</v>
          </cell>
        </row>
        <row r="199">
          <cell r="E199">
            <v>4014</v>
          </cell>
          <cell r="F199" t="str">
            <v>Astrea Academy</v>
          </cell>
          <cell r="G199">
            <v>2.7173913043478298E-2</v>
          </cell>
          <cell r="H199">
            <v>0.172554347826087</v>
          </cell>
          <cell r="I199">
            <v>0.48369565217391303</v>
          </cell>
          <cell r="J199">
            <v>7.7445652173912999E-2</v>
          </cell>
          <cell r="K199">
            <v>0.19565217391304299</v>
          </cell>
          <cell r="L199">
            <v>2.1739130434782601E-2</v>
          </cell>
          <cell r="M199">
            <v>2.1739130434782601E-2</v>
          </cell>
          <cell r="N199">
            <v>0.99999999999999944</v>
          </cell>
          <cell r="P199">
            <v>20.000000000000028</v>
          </cell>
          <cell r="Q199">
            <v>127.00000000000003</v>
          </cell>
          <cell r="R199">
            <v>356</v>
          </cell>
          <cell r="S199">
            <v>56.999999999999964</v>
          </cell>
          <cell r="T199">
            <v>143.99999999999963</v>
          </cell>
          <cell r="U199">
            <v>15.999999999999995</v>
          </cell>
          <cell r="V199">
            <v>15.999999999999995</v>
          </cell>
          <cell r="W199">
            <v>736</v>
          </cell>
          <cell r="Y199">
            <v>15643.830661938015</v>
          </cell>
          <cell r="Z199">
            <v>77975.244121950091</v>
          </cell>
          <cell r="AA199">
            <v>203605.2971312876</v>
          </cell>
          <cell r="AB199">
            <v>29723.27825768217</v>
          </cell>
          <cell r="AC199">
            <v>53895.519828870114</v>
          </cell>
          <cell r="AD199">
            <v>4508.1146423649252</v>
          </cell>
          <cell r="AE199">
            <v>385351.2846440929</v>
          </cell>
          <cell r="AG199">
            <v>58579.60663203169</v>
          </cell>
          <cell r="AH199">
            <v>326771.67801206122</v>
          </cell>
          <cell r="AI199">
            <v>0.84798388128863955</v>
          </cell>
        </row>
        <row r="200">
          <cell r="E200">
            <v>4225</v>
          </cell>
          <cell r="F200" t="str">
            <v>Hinde House 3-16 School</v>
          </cell>
          <cell r="G200">
            <v>8.4163898117386504E-2</v>
          </cell>
          <cell r="H200">
            <v>0.32336655592469499</v>
          </cell>
          <cell r="I200">
            <v>0.207087486157254</v>
          </cell>
          <cell r="J200">
            <v>4.5404208194905898E-2</v>
          </cell>
          <cell r="K200">
            <v>0.149501661129568</v>
          </cell>
          <cell r="L200">
            <v>7.3089700996677706E-2</v>
          </cell>
          <cell r="M200">
            <v>0.117386489479513</v>
          </cell>
          <cell r="N200">
            <v>1</v>
          </cell>
          <cell r="P200">
            <v>76.000000000000014</v>
          </cell>
          <cell r="Q200">
            <v>291.99999999999955</v>
          </cell>
          <cell r="R200">
            <v>187.00000000000037</v>
          </cell>
          <cell r="S200">
            <v>41.000000000000028</v>
          </cell>
          <cell r="T200">
            <v>134.99999999999991</v>
          </cell>
          <cell r="U200">
            <v>65.999999999999972</v>
          </cell>
          <cell r="V200">
            <v>106.00000000000024</v>
          </cell>
          <cell r="W200">
            <v>903</v>
          </cell>
          <cell r="Y200">
            <v>59446.556515364384</v>
          </cell>
          <cell r="Z200">
            <v>179281.66365046761</v>
          </cell>
          <cell r="AA200">
            <v>106949.97349312039</v>
          </cell>
          <cell r="AB200">
            <v>21379.901904648606</v>
          </cell>
          <cell r="AC200">
            <v>50527.049839565829</v>
          </cell>
          <cell r="AD200">
            <v>18595.972899755317</v>
          </cell>
          <cell r="AE200">
            <v>436181.11830292211</v>
          </cell>
          <cell r="AG200">
            <v>151292.21699205888</v>
          </cell>
          <cell r="AH200">
            <v>284888.90131086321</v>
          </cell>
          <cell r="AI200">
            <v>0.65314358956962359</v>
          </cell>
        </row>
        <row r="201">
          <cell r="E201">
            <v>4005</v>
          </cell>
          <cell r="F201" t="str">
            <v>Oasis Academy Don Valley</v>
          </cell>
          <cell r="G201">
            <v>1.54559505409583E-2</v>
          </cell>
          <cell r="H201">
            <v>0.66615146831530103</v>
          </cell>
          <cell r="I201">
            <v>4.4822256568779001E-2</v>
          </cell>
          <cell r="J201">
            <v>0.194744976816074</v>
          </cell>
          <cell r="K201">
            <v>6.8006182380216398E-2</v>
          </cell>
          <cell r="L201">
            <v>4.6367851622874804E-3</v>
          </cell>
          <cell r="M201">
            <v>6.18238021638331E-3</v>
          </cell>
          <cell r="N201">
            <v>0.99999999999999956</v>
          </cell>
          <cell r="P201">
            <v>10.00000000000002</v>
          </cell>
          <cell r="Q201">
            <v>430.99999999999977</v>
          </cell>
          <cell r="R201">
            <v>29.000000000000014</v>
          </cell>
          <cell r="S201">
            <v>125.99999999999987</v>
          </cell>
          <cell r="T201">
            <v>44.000000000000007</v>
          </cell>
          <cell r="U201">
            <v>3</v>
          </cell>
          <cell r="V201">
            <v>4.0000000000000018</v>
          </cell>
          <cell r="W201">
            <v>647</v>
          </cell>
          <cell r="Y201">
            <v>7821.9153309690118</v>
          </cell>
          <cell r="Z201">
            <v>264624.64737449185</v>
          </cell>
          <cell r="AA201">
            <v>16585.824766312762</v>
          </cell>
          <cell r="AB201">
            <v>65704.0887801395</v>
          </cell>
          <cell r="AC201">
            <v>16468.075503265914</v>
          </cell>
          <cell r="AD201">
            <v>845.27149544342387</v>
          </cell>
          <cell r="AE201">
            <v>372049.82325062249</v>
          </cell>
          <cell r="AG201">
            <v>144952.12941520163</v>
          </cell>
          <cell r="AH201">
            <v>227097.69383542085</v>
          </cell>
          <cell r="AI201">
            <v>0.61039591915742397</v>
          </cell>
        </row>
        <row r="203">
          <cell r="F203" t="str">
            <v>Total Secondary</v>
          </cell>
          <cell r="P203">
            <v>2343.1611596397415</v>
          </cell>
          <cell r="Q203">
            <v>5478.9591642691958</v>
          </cell>
          <cell r="R203">
            <v>3204.6083478861451</v>
          </cell>
          <cell r="S203">
            <v>1595.5319472896747</v>
          </cell>
          <cell r="T203">
            <v>2393.7653084593935</v>
          </cell>
          <cell r="U203">
            <v>2024.4711511392773</v>
          </cell>
          <cell r="V203">
            <v>13204.502921316573</v>
          </cell>
          <cell r="W203">
            <v>30245</v>
          </cell>
          <cell r="X203">
            <v>0</v>
          </cell>
          <cell r="Y203">
            <v>1832800.8197517183</v>
          </cell>
          <cell r="Z203">
            <v>3363962.0343943792</v>
          </cell>
          <cell r="AA203">
            <v>1832795.6035414699</v>
          </cell>
          <cell r="AB203">
            <v>832007.71997039497</v>
          </cell>
          <cell r="AC203">
            <v>895925.17810927075</v>
          </cell>
          <cell r="AD203">
            <v>570409.25246852229</v>
          </cell>
          <cell r="AE203">
            <v>9327900.6082357578</v>
          </cell>
          <cell r="AG203">
            <v>7773086.5117709925</v>
          </cell>
          <cell r="AH203">
            <v>1554814.0964647622</v>
          </cell>
          <cell r="AI203">
            <v>0.16668424780298272</v>
          </cell>
        </row>
        <row r="204">
          <cell r="AE204">
            <v>0</v>
          </cell>
        </row>
        <row r="205">
          <cell r="F205" t="str">
            <v>Total All Schools</v>
          </cell>
          <cell r="P205">
            <v>5857.3117120596598</v>
          </cell>
          <cell r="Q205">
            <v>13785.51078658338</v>
          </cell>
          <cell r="R205">
            <v>7830.6451697322973</v>
          </cell>
          <cell r="S205">
            <v>4067.0943016836854</v>
          </cell>
          <cell r="T205">
            <v>6016.9038267201922</v>
          </cell>
          <cell r="U205">
            <v>4996.4867135975337</v>
          </cell>
          <cell r="V205">
            <v>32178.047489623255</v>
          </cell>
          <cell r="W205">
            <v>74732</v>
          </cell>
          <cell r="X205">
            <v>0</v>
          </cell>
          <cell r="Y205">
            <v>3985899.8249416836</v>
          </cell>
          <cell r="Z205">
            <v>7237963.4813279547</v>
          </cell>
          <cell r="AA205">
            <v>3863371.1731430888</v>
          </cell>
          <cell r="AB205">
            <v>1826480.9162397874</v>
          </cell>
          <cell r="AC205">
            <v>1823634.2500885227</v>
          </cell>
          <cell r="AD205">
            <v>1195506.7342076199</v>
          </cell>
          <cell r="AE205">
            <v>19932856.379948657</v>
          </cell>
          <cell r="AG205">
            <v>16244101.498252749</v>
          </cell>
          <cell r="AH205">
            <v>3688754.8816959104</v>
          </cell>
          <cell r="AI205">
            <v>0.18505902071348851</v>
          </cell>
        </row>
        <row r="206">
          <cell r="W206">
            <v>0</v>
          </cell>
          <cell r="AE206">
            <v>0</v>
          </cell>
        </row>
      </sheetData>
      <sheetData sheetId="36">
        <row r="1">
          <cell r="I1" t="str">
            <v>*put 22-23 PFI in col I in baseline in order to remove it</v>
          </cell>
          <cell r="J1"/>
          <cell r="K1"/>
          <cell r="L1"/>
          <cell r="N1" t="str">
            <v xml:space="preserve">*Remove 23-24 PFI from MFG total to match NFF </v>
          </cell>
          <cell r="O1"/>
          <cell r="P1"/>
          <cell r="Q1">
            <v>5.0000000000000001E-3</v>
          </cell>
          <cell r="X1">
            <v>50</v>
          </cell>
          <cell r="Y1">
            <v>0.505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</row>
        <row r="3">
          <cell r="E3" t="str">
            <v>Pupil Numbers October 2021</v>
          </cell>
          <cell r="F3" t="str">
            <v>Pupil Numbers October 2022</v>
          </cell>
          <cell r="G3" t="str">
            <v>Change in Pupil Numbers</v>
          </cell>
          <cell r="H3" t="str">
            <v>Baseline 2023-24</v>
          </cell>
          <cell r="I3"/>
          <cell r="J3"/>
          <cell r="K3"/>
          <cell r="L3"/>
          <cell r="M3"/>
          <cell r="N3" t="str">
            <v>Adjusted Budget Share 2023-24</v>
          </cell>
          <cell r="O3" t="str">
            <v>MFG               2023-24 Unit Value</v>
          </cell>
          <cell r="P3" t="str">
            <v>MFG % Change</v>
          </cell>
          <cell r="Q3" t="str">
            <v>MFG Adjusted Value</v>
          </cell>
          <cell r="R3" t="str">
            <v>MFG Required Allocation</v>
          </cell>
          <cell r="T3" t="str">
            <v>2022-23</v>
          </cell>
          <cell r="U3" t="str">
            <v>2023-24</v>
          </cell>
          <cell r="V3" t="str">
            <v>Change</v>
          </cell>
          <cell r="W3"/>
          <cell r="X3" t="str">
            <v>Maximum Gain %</v>
          </cell>
          <cell r="Y3" t="str">
            <v>Max Gains Cap</v>
          </cell>
        </row>
        <row r="4">
          <cell r="C4"/>
          <cell r="D4" t="str">
            <v>PFI Schools*</v>
          </cell>
          <cell r="E4"/>
          <cell r="F4"/>
          <cell r="G4"/>
          <cell r="H4" t="str">
            <v>Budget Shares</v>
          </cell>
          <cell r="I4"/>
          <cell r="J4"/>
          <cell r="K4"/>
          <cell r="L4" t="str">
            <v>MFG 22-23 Total</v>
          </cell>
          <cell r="M4" t="str">
            <v>MFG      2022-23 Unit Value</v>
          </cell>
          <cell r="N4"/>
          <cell r="O4"/>
          <cell r="P4"/>
          <cell r="Q4"/>
          <cell r="R4"/>
          <cell r="T4"/>
          <cell r="U4"/>
          <cell r="V4"/>
          <cell r="W4"/>
          <cell r="X4"/>
          <cell r="Y4"/>
        </row>
        <row r="5">
          <cell r="C5" t="str">
            <v>DfE School Number</v>
          </cell>
          <cell r="D5"/>
          <cell r="E5"/>
          <cell r="F5"/>
          <cell r="G5"/>
          <cell r="H5"/>
          <cell r="I5" t="str">
            <v>Actual Rates 22-23 &amp; PFI</v>
          </cell>
          <cell r="J5" t="str">
            <v>2023-24 Notional Lump Sum &amp; Sparsity</v>
          </cell>
          <cell r="K5" t="str">
            <v>Other Exceptions (R-Y11 Supp Grant fr 22-23)</v>
          </cell>
          <cell r="L5"/>
          <cell r="M5"/>
          <cell r="N5"/>
          <cell r="O5"/>
          <cell r="P5"/>
          <cell r="Q5"/>
          <cell r="R5"/>
          <cell r="T5" t="str">
            <v>Post-MFG Maximum £ per Pupil Gain %</v>
          </cell>
          <cell r="U5"/>
          <cell r="V5"/>
          <cell r="W5"/>
          <cell r="X5">
            <v>50.5</v>
          </cell>
          <cell r="Y5"/>
        </row>
        <row r="6">
          <cell r="C6"/>
          <cell r="D6"/>
          <cell r="E6" t="str">
            <v>FTEs</v>
          </cell>
          <cell r="F6" t="str">
            <v>FTEs</v>
          </cell>
          <cell r="G6" t="str">
            <v>FTEs</v>
          </cell>
          <cell r="H6" t="str">
            <v xml:space="preserve">£    </v>
          </cell>
          <cell r="I6"/>
          <cell r="J6" t="str">
            <v xml:space="preserve">£    </v>
          </cell>
          <cell r="K6" t="str">
            <v>£</v>
          </cell>
          <cell r="L6" t="str">
            <v xml:space="preserve">£    </v>
          </cell>
          <cell r="M6" t="str">
            <v>£</v>
          </cell>
          <cell r="N6" t="str">
            <v xml:space="preserve">£    </v>
          </cell>
          <cell r="O6" t="str">
            <v>£</v>
          </cell>
          <cell r="P6" t="str">
            <v>%</v>
          </cell>
          <cell r="Q6" t="str">
            <v>%</v>
          </cell>
          <cell r="R6" t="str">
            <v xml:space="preserve">£    </v>
          </cell>
          <cell r="T6" t="str">
            <v>£/pupil</v>
          </cell>
          <cell r="U6" t="str">
            <v>£/pupil</v>
          </cell>
          <cell r="V6" t="str">
            <v>£/pupil</v>
          </cell>
          <cell r="W6" t="str">
            <v>%</v>
          </cell>
          <cell r="X6" t="str">
            <v xml:space="preserve">£    </v>
          </cell>
          <cell r="Y6" t="str">
            <v>£</v>
          </cell>
        </row>
        <row r="7">
          <cell r="C7"/>
          <cell r="D7" t="str">
            <v>Primary Schools</v>
          </cell>
          <cell r="E7"/>
          <cell r="F7"/>
          <cell r="J7">
            <v>128000</v>
          </cell>
          <cell r="K7">
            <v>0</v>
          </cell>
          <cell r="Y7">
            <v>4405</v>
          </cell>
        </row>
        <row r="8">
          <cell r="C8">
            <v>1</v>
          </cell>
          <cell r="D8">
            <v>2</v>
          </cell>
          <cell r="E8">
            <v>3</v>
          </cell>
          <cell r="F8">
            <v>4</v>
          </cell>
          <cell r="G8">
            <v>5</v>
          </cell>
          <cell r="H8">
            <v>6</v>
          </cell>
          <cell r="I8"/>
          <cell r="J8">
            <v>8</v>
          </cell>
          <cell r="K8">
            <v>9</v>
          </cell>
          <cell r="L8">
            <v>10</v>
          </cell>
          <cell r="M8">
            <v>11</v>
          </cell>
          <cell r="N8">
            <v>12</v>
          </cell>
          <cell r="O8">
            <v>13</v>
          </cell>
          <cell r="P8">
            <v>14</v>
          </cell>
          <cell r="Q8">
            <v>15</v>
          </cell>
          <cell r="R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Z8">
            <v>24</v>
          </cell>
        </row>
        <row r="9">
          <cell r="C9">
            <v>2001</v>
          </cell>
          <cell r="D9" t="str">
            <v>Abbey Lane Primary School</v>
          </cell>
          <cell r="E9">
            <v>557</v>
          </cell>
          <cell r="F9">
            <v>546</v>
          </cell>
          <cell r="G9">
            <v>-11</v>
          </cell>
          <cell r="H9">
            <v>2419994.3863481223</v>
          </cell>
          <cell r="I9">
            <v>39936</v>
          </cell>
          <cell r="J9">
            <v>128000</v>
          </cell>
          <cell r="K9">
            <v>-64764</v>
          </cell>
          <cell r="L9">
            <v>2316822.3863481223</v>
          </cell>
          <cell r="M9">
            <v>4159.4656846465386</v>
          </cell>
          <cell r="N9">
            <v>2277130.0000000009</v>
          </cell>
          <cell r="O9">
            <v>4170.5677655677673</v>
          </cell>
          <cell r="P9">
            <v>2.6691122761773886E-3</v>
          </cell>
          <cell r="Q9">
            <v>2.3308877238226115E-3</v>
          </cell>
          <cell r="R9">
            <v>5293.605136094201</v>
          </cell>
          <cell r="S9">
            <v>4487.8381046448631</v>
          </cell>
          <cell r="T9">
            <v>4159.4656846465386</v>
          </cell>
          <cell r="U9">
            <v>4180.2630130697717</v>
          </cell>
          <cell r="V9">
            <v>20.797328423233012</v>
          </cell>
          <cell r="W9">
            <v>0.50000000000000766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2046</v>
          </cell>
          <cell r="D10" t="str">
            <v>Abbeyfield Primary Academy</v>
          </cell>
          <cell r="E10">
            <v>354</v>
          </cell>
          <cell r="F10">
            <v>372</v>
          </cell>
          <cell r="G10">
            <v>18</v>
          </cell>
          <cell r="H10">
            <v>1806311.8130876857</v>
          </cell>
          <cell r="I10">
            <v>6707.2000000000007</v>
          </cell>
          <cell r="J10">
            <v>128000</v>
          </cell>
          <cell r="K10">
            <v>-53233</v>
          </cell>
          <cell r="L10">
            <v>1724837.6130876858</v>
          </cell>
          <cell r="M10">
            <v>4872.4226358409205</v>
          </cell>
          <cell r="N10">
            <v>1822890.8188535536</v>
          </cell>
          <cell r="O10">
            <v>4900.2441367031015</v>
          </cell>
          <cell r="P10">
            <v>5.7099933526967806E-3</v>
          </cell>
          <cell r="Q10">
            <v>0</v>
          </cell>
          <cell r="R10">
            <v>0</v>
          </cell>
          <cell r="S10">
            <v>5262.3597281009506</v>
          </cell>
          <cell r="T10">
            <v>4872.4226358409205</v>
          </cell>
          <cell r="U10">
            <v>4900.2441367031015</v>
          </cell>
          <cell r="V10">
            <v>27.821500862180983</v>
          </cell>
          <cell r="W10">
            <v>0.57099933526967805</v>
          </cell>
          <cell r="X10">
            <v>0</v>
          </cell>
          <cell r="Y10">
            <v>0</v>
          </cell>
          <cell r="Z10">
            <v>0</v>
          </cell>
        </row>
        <row r="11">
          <cell r="C11">
            <v>2048</v>
          </cell>
          <cell r="D11" t="str">
            <v>Acres Hill Community Primary School</v>
          </cell>
          <cell r="E11">
            <v>194</v>
          </cell>
          <cell r="F11">
            <v>205</v>
          </cell>
          <cell r="G11">
            <v>11</v>
          </cell>
          <cell r="H11">
            <v>1060021.6610977075</v>
          </cell>
          <cell r="I11">
            <v>4966.3999999999996</v>
          </cell>
          <cell r="J11">
            <v>128000</v>
          </cell>
          <cell r="K11">
            <v>-31083</v>
          </cell>
          <cell r="L11">
            <v>958138.26109770744</v>
          </cell>
          <cell r="M11">
            <v>4938.8570159675637</v>
          </cell>
          <cell r="N11">
            <v>1041170.444834647</v>
          </cell>
          <cell r="O11">
            <v>5078.8802187055953</v>
          </cell>
          <cell r="P11">
            <v>2.8351337624338956E-2</v>
          </cell>
          <cell r="Q11">
            <v>0</v>
          </cell>
          <cell r="R11">
            <v>0</v>
          </cell>
          <cell r="S11">
            <v>5727.4948528519362</v>
          </cell>
          <cell r="T11">
            <v>4938.8570159675637</v>
          </cell>
          <cell r="U11">
            <v>5078.8802187055953</v>
          </cell>
          <cell r="V11">
            <v>140.02320273803161</v>
          </cell>
          <cell r="W11">
            <v>2.8351337624338955</v>
          </cell>
          <cell r="X11">
            <v>0</v>
          </cell>
          <cell r="Y11">
            <v>0</v>
          </cell>
          <cell r="Z11">
            <v>0</v>
          </cell>
        </row>
        <row r="12">
          <cell r="C12">
            <v>2342</v>
          </cell>
          <cell r="D12" t="str">
            <v>Angram Bank Primary School</v>
          </cell>
          <cell r="E12">
            <v>195</v>
          </cell>
          <cell r="F12">
            <v>184</v>
          </cell>
          <cell r="G12">
            <v>-11</v>
          </cell>
          <cell r="H12">
            <v>982394.10351014114</v>
          </cell>
          <cell r="I12">
            <v>23203.5</v>
          </cell>
          <cell r="J12">
            <v>128000</v>
          </cell>
          <cell r="K12">
            <v>-29905</v>
          </cell>
          <cell r="L12">
            <v>861095.60351014114</v>
          </cell>
          <cell r="M12">
            <v>4415.8748897955957</v>
          </cell>
          <cell r="N12">
            <v>832177.41527732834</v>
          </cell>
          <cell r="O12">
            <v>4522.7033438985236</v>
          </cell>
          <cell r="P12">
            <v>2.4191911403511901E-2</v>
          </cell>
          <cell r="Q12">
            <v>0</v>
          </cell>
          <cell r="R12">
            <v>0</v>
          </cell>
          <cell r="S12">
            <v>5344.4642134637406</v>
          </cell>
          <cell r="T12">
            <v>4415.8748897955957</v>
          </cell>
          <cell r="U12">
            <v>4522.7033438985236</v>
          </cell>
          <cell r="V12">
            <v>106.82845410292794</v>
          </cell>
          <cell r="W12">
            <v>2.4191911403511899</v>
          </cell>
          <cell r="X12">
            <v>0</v>
          </cell>
          <cell r="Y12">
            <v>0</v>
          </cell>
          <cell r="Z12">
            <v>0</v>
          </cell>
        </row>
        <row r="13">
          <cell r="C13">
            <v>2343</v>
          </cell>
          <cell r="D13" t="str">
            <v>Anns Grove Primary School</v>
          </cell>
          <cell r="E13">
            <v>324</v>
          </cell>
          <cell r="F13">
            <v>334</v>
          </cell>
          <cell r="G13">
            <v>10</v>
          </cell>
          <cell r="H13">
            <v>1588270.5784929248</v>
          </cell>
          <cell r="I13">
            <v>40704</v>
          </cell>
          <cell r="J13">
            <v>128000</v>
          </cell>
          <cell r="K13">
            <v>-46243</v>
          </cell>
          <cell r="L13">
            <v>1465809.5784929248</v>
          </cell>
          <cell r="M13">
            <v>4524.1036373238421</v>
          </cell>
          <cell r="N13">
            <v>1548868.4828582716</v>
          </cell>
          <cell r="O13">
            <v>4637.330787000813</v>
          </cell>
          <cell r="P13">
            <v>2.5027532248122517E-2</v>
          </cell>
          <cell r="Q13">
            <v>0</v>
          </cell>
          <cell r="R13">
            <v>0</v>
          </cell>
          <cell r="S13">
            <v>5142.4325834079991</v>
          </cell>
          <cell r="T13">
            <v>4524.1036373238421</v>
          </cell>
          <cell r="U13">
            <v>4637.330787000813</v>
          </cell>
          <cell r="V13">
            <v>113.22714967697084</v>
          </cell>
          <cell r="W13">
            <v>2.5027532248122517</v>
          </cell>
          <cell r="X13">
            <v>0</v>
          </cell>
          <cell r="Y13">
            <v>0</v>
          </cell>
          <cell r="Z13">
            <v>0</v>
          </cell>
        </row>
        <row r="14">
          <cell r="C14">
            <v>3429</v>
          </cell>
          <cell r="D14" t="str">
            <v>Arbourthorne Community Primary School</v>
          </cell>
          <cell r="E14">
            <v>403</v>
          </cell>
          <cell r="F14">
            <v>420</v>
          </cell>
          <cell r="G14">
            <v>17</v>
          </cell>
          <cell r="H14">
            <v>2178188.6190562863</v>
          </cell>
          <cell r="I14">
            <v>52736</v>
          </cell>
          <cell r="J14">
            <v>128000</v>
          </cell>
          <cell r="K14">
            <v>-64616</v>
          </cell>
          <cell r="L14">
            <v>2062068.6190562863</v>
          </cell>
          <cell r="M14">
            <v>5116.7955807848293</v>
          </cell>
          <cell r="N14">
            <v>2232115.6079854686</v>
          </cell>
          <cell r="O14">
            <v>5314.560971393973</v>
          </cell>
          <cell r="P14">
            <v>3.8650242615087975E-2</v>
          </cell>
          <cell r="Q14">
            <v>0</v>
          </cell>
          <cell r="R14">
            <v>0</v>
          </cell>
          <cell r="S14">
            <v>5744.8847809177823</v>
          </cell>
          <cell r="T14">
            <v>5116.7955807848293</v>
          </cell>
          <cell r="U14">
            <v>5314.560971393973</v>
          </cell>
          <cell r="V14">
            <v>197.76539060914365</v>
          </cell>
          <cell r="W14">
            <v>3.8650242615087973</v>
          </cell>
          <cell r="X14">
            <v>0</v>
          </cell>
          <cell r="Y14">
            <v>0</v>
          </cell>
          <cell r="Z14">
            <v>0</v>
          </cell>
        </row>
        <row r="15">
          <cell r="C15">
            <v>2340</v>
          </cell>
          <cell r="D15" t="str">
            <v>Athelstan Primary School</v>
          </cell>
          <cell r="E15">
            <v>615</v>
          </cell>
          <cell r="F15">
            <v>614</v>
          </cell>
          <cell r="G15">
            <v>-1</v>
          </cell>
          <cell r="H15">
            <v>2775213.3556630551</v>
          </cell>
          <cell r="I15">
            <v>32768</v>
          </cell>
          <cell r="J15">
            <v>128000</v>
          </cell>
          <cell r="K15">
            <v>-80590</v>
          </cell>
          <cell r="L15">
            <v>2695035.3556630551</v>
          </cell>
          <cell r="M15">
            <v>4382.1713100212282</v>
          </cell>
          <cell r="N15">
            <v>2697452.7045588004</v>
          </cell>
          <cell r="O15">
            <v>4393.2454471641704</v>
          </cell>
          <cell r="P15">
            <v>2.5270890523192524E-3</v>
          </cell>
          <cell r="Q15">
            <v>2.4729109476807477E-3</v>
          </cell>
          <cell r="R15">
            <v>6653.7457159986834</v>
          </cell>
          <cell r="S15">
            <v>4665.9193001218227</v>
          </cell>
          <cell r="T15">
            <v>4382.1713100212282</v>
          </cell>
          <cell r="U15">
            <v>4404.0821665713338</v>
          </cell>
          <cell r="V15">
            <v>21.910856550105564</v>
          </cell>
          <cell r="W15">
            <v>0.49999999999998684</v>
          </cell>
          <cell r="X15">
            <v>0</v>
          </cell>
          <cell r="Y15">
            <v>0</v>
          </cell>
          <cell r="Z15">
            <v>0</v>
          </cell>
        </row>
        <row r="16">
          <cell r="C16">
            <v>2281</v>
          </cell>
          <cell r="D16" t="str">
            <v>Ballifield Primary School</v>
          </cell>
          <cell r="E16">
            <v>415</v>
          </cell>
          <cell r="F16">
            <v>415</v>
          </cell>
          <cell r="G16">
            <v>0</v>
          </cell>
          <cell r="H16">
            <v>1825390.7372302713</v>
          </cell>
          <cell r="I16">
            <v>27904</v>
          </cell>
          <cell r="J16">
            <v>128000</v>
          </cell>
          <cell r="K16">
            <v>-49715</v>
          </cell>
          <cell r="L16">
            <v>1719201.7372302713</v>
          </cell>
          <cell r="M16">
            <v>4142.6547885066775</v>
          </cell>
          <cell r="N16">
            <v>1700602.4581559328</v>
          </cell>
          <cell r="O16">
            <v>4097.8372485685131</v>
          </cell>
          <cell r="P16">
            <v>-1.0818555304802495E-2</v>
          </cell>
          <cell r="Q16">
            <v>1.5818555304802494E-2</v>
          </cell>
          <cell r="R16">
            <v>27195.287760489566</v>
          </cell>
          <cell r="S16">
            <v>4539.0403516058386</v>
          </cell>
          <cell r="T16">
            <v>4142.6547885066775</v>
          </cell>
          <cell r="U16">
            <v>4163.3680624492108</v>
          </cell>
          <cell r="V16">
            <v>20.713273942533306</v>
          </cell>
          <cell r="W16">
            <v>0.499999999999998</v>
          </cell>
          <cell r="X16">
            <v>0</v>
          </cell>
          <cell r="Y16">
            <v>0</v>
          </cell>
          <cell r="Z16">
            <v>0</v>
          </cell>
        </row>
        <row r="17">
          <cell r="C17">
            <v>2322</v>
          </cell>
          <cell r="D17" t="str">
            <v>Bankwood Community Primary School</v>
          </cell>
          <cell r="E17">
            <v>363</v>
          </cell>
          <cell r="F17">
            <v>384</v>
          </cell>
          <cell r="G17">
            <v>21</v>
          </cell>
          <cell r="H17">
            <v>1978156.4359228562</v>
          </cell>
          <cell r="I17">
            <v>24326.25</v>
          </cell>
          <cell r="J17">
            <v>128000</v>
          </cell>
          <cell r="K17">
            <v>-61501</v>
          </cell>
          <cell r="L17">
            <v>1887331.1859228562</v>
          </cell>
          <cell r="M17">
            <v>5199.259465352221</v>
          </cell>
          <cell r="N17">
            <v>2084368.8309133435</v>
          </cell>
          <cell r="O17">
            <v>5428.0438305034986</v>
          </cell>
          <cell r="P17">
            <v>4.4003259824960228E-2</v>
          </cell>
          <cell r="Q17">
            <v>0</v>
          </cell>
          <cell r="R17">
            <v>0</v>
          </cell>
          <cell r="S17">
            <v>5824.7261221701656</v>
          </cell>
          <cell r="T17">
            <v>5199.259465352221</v>
          </cell>
          <cell r="U17">
            <v>5428.0438305034986</v>
          </cell>
          <cell r="V17">
            <v>228.7843651512776</v>
          </cell>
          <cell r="W17">
            <v>4.4003259824960228</v>
          </cell>
          <cell r="X17">
            <v>0</v>
          </cell>
          <cell r="Y17">
            <v>0</v>
          </cell>
          <cell r="Z17">
            <v>0</v>
          </cell>
        </row>
        <row r="18">
          <cell r="C18">
            <v>2274</v>
          </cell>
          <cell r="D18" t="str">
            <v>Beck Primary School</v>
          </cell>
          <cell r="E18">
            <v>610</v>
          </cell>
          <cell r="F18">
            <v>615</v>
          </cell>
          <cell r="G18">
            <v>5</v>
          </cell>
          <cell r="H18">
            <v>3010321.7402604581</v>
          </cell>
          <cell r="I18">
            <v>9267.2000000000007</v>
          </cell>
          <cell r="J18">
            <v>128000</v>
          </cell>
          <cell r="K18">
            <v>-91750</v>
          </cell>
          <cell r="L18">
            <v>2964804.5402604579</v>
          </cell>
          <cell r="M18">
            <v>4860.3353119023895</v>
          </cell>
          <cell r="N18">
            <v>3072836.4545847522</v>
          </cell>
          <cell r="O18">
            <v>4996.482039975207</v>
          </cell>
          <cell r="P18">
            <v>2.8011797404061848E-2</v>
          </cell>
          <cell r="Q18">
            <v>0</v>
          </cell>
          <cell r="R18">
            <v>0</v>
          </cell>
          <cell r="S18">
            <v>5219.6804139589467</v>
          </cell>
          <cell r="T18">
            <v>4860.3353119023895</v>
          </cell>
          <cell r="U18">
            <v>4996.482039975207</v>
          </cell>
          <cell r="V18">
            <v>136.1467280728175</v>
          </cell>
          <cell r="W18">
            <v>2.8011797404061847</v>
          </cell>
          <cell r="X18">
            <v>0</v>
          </cell>
          <cell r="Y18">
            <v>0</v>
          </cell>
          <cell r="Z18">
            <v>0</v>
          </cell>
        </row>
        <row r="19">
          <cell r="C19">
            <v>2241</v>
          </cell>
          <cell r="D19" t="str">
            <v>Beighton Nursery Infant School</v>
          </cell>
          <cell r="E19">
            <v>249</v>
          </cell>
          <cell r="F19">
            <v>242</v>
          </cell>
          <cell r="G19">
            <v>-7</v>
          </cell>
          <cell r="H19">
            <v>1126891.6854825572</v>
          </cell>
          <cell r="I19">
            <v>20833.25</v>
          </cell>
          <cell r="J19">
            <v>128000</v>
          </cell>
          <cell r="K19">
            <v>-30978</v>
          </cell>
          <cell r="L19">
            <v>1009036.4354825572</v>
          </cell>
          <cell r="M19">
            <v>4052.3551625805508</v>
          </cell>
          <cell r="N19">
            <v>979689.38581986213</v>
          </cell>
          <cell r="O19">
            <v>4048.3032471895131</v>
          </cell>
          <cell r="P19">
            <v>-9.9989147754202257E-4</v>
          </cell>
          <cell r="Q19">
            <v>5.9998914775420227E-3</v>
          </cell>
          <cell r="R19">
            <v>5883.9132713535928</v>
          </cell>
          <cell r="S19">
            <v>4687.6293350876686</v>
          </cell>
          <cell r="T19">
            <v>4052.3551625805508</v>
          </cell>
          <cell r="U19">
            <v>4072.6169383934534</v>
          </cell>
          <cell r="V19">
            <v>20.26177581290267</v>
          </cell>
          <cell r="W19">
            <v>0.49999999999999795</v>
          </cell>
          <cell r="X19">
            <v>0</v>
          </cell>
          <cell r="Y19">
            <v>0</v>
          </cell>
          <cell r="Z19">
            <v>0</v>
          </cell>
        </row>
        <row r="20">
          <cell r="C20">
            <v>2353</v>
          </cell>
          <cell r="D20" t="str">
            <v>Birley Primary Academy</v>
          </cell>
          <cell r="E20">
            <v>533</v>
          </cell>
          <cell r="F20">
            <v>528</v>
          </cell>
          <cell r="G20">
            <v>-5</v>
          </cell>
          <cell r="H20">
            <v>2284533.9228030886</v>
          </cell>
          <cell r="I20">
            <v>6881.9410290473215</v>
          </cell>
          <cell r="J20">
            <v>128000</v>
          </cell>
          <cell r="K20">
            <v>-67876</v>
          </cell>
          <cell r="L20">
            <v>2217527.9817740414</v>
          </cell>
          <cell r="M20">
            <v>4160.4652566117102</v>
          </cell>
          <cell r="N20">
            <v>2200383.712661725</v>
          </cell>
          <cell r="O20">
            <v>4167.393395192661</v>
          </cell>
          <cell r="P20">
            <v>1.6652316877158973E-3</v>
          </cell>
          <cell r="Q20">
            <v>3.3347683122841028E-3</v>
          </cell>
          <cell r="R20">
            <v>7325.571106712855</v>
          </cell>
          <cell r="S20">
            <v>4436.7259162281034</v>
          </cell>
          <cell r="T20">
            <v>4160.4652566117102</v>
          </cell>
          <cell r="U20">
            <v>4181.2675828947686</v>
          </cell>
          <cell r="V20">
            <v>20.802326283058392</v>
          </cell>
          <cell r="W20">
            <v>0.49999999999999617</v>
          </cell>
          <cell r="X20">
            <v>0</v>
          </cell>
          <cell r="Y20">
            <v>0</v>
          </cell>
          <cell r="Z20">
            <v>0</v>
          </cell>
        </row>
        <row r="21">
          <cell r="C21">
            <v>2323</v>
          </cell>
          <cell r="D21" t="str">
            <v>Birley Spa Primary Academy</v>
          </cell>
          <cell r="E21">
            <v>355</v>
          </cell>
          <cell r="F21">
            <v>337</v>
          </cell>
          <cell r="G21">
            <v>-18</v>
          </cell>
          <cell r="H21">
            <v>1667250.2014869468</v>
          </cell>
          <cell r="I21">
            <v>9164.7999999999993</v>
          </cell>
          <cell r="J21">
            <v>128000</v>
          </cell>
          <cell r="K21">
            <v>-49675</v>
          </cell>
          <cell r="L21">
            <v>1579760.4014869467</v>
          </cell>
          <cell r="M21">
            <v>4450.0292999632302</v>
          </cell>
          <cell r="N21">
            <v>1526949.4893446702</v>
          </cell>
          <cell r="O21">
            <v>4531.0073867794372</v>
          </cell>
          <cell r="P21">
            <v>1.8197203064904788E-2</v>
          </cell>
          <cell r="Q21">
            <v>0</v>
          </cell>
          <cell r="R21">
            <v>0</v>
          </cell>
          <cell r="S21">
            <v>4938.0251909337394</v>
          </cell>
          <cell r="T21">
            <v>4450.0292999632302</v>
          </cell>
          <cell r="U21">
            <v>4531.0073867794372</v>
          </cell>
          <cell r="V21">
            <v>80.978086816206996</v>
          </cell>
          <cell r="W21">
            <v>1.8197203064904788</v>
          </cell>
          <cell r="X21">
            <v>0</v>
          </cell>
          <cell r="Y21">
            <v>0</v>
          </cell>
          <cell r="Z21">
            <v>0</v>
          </cell>
        </row>
        <row r="22">
          <cell r="C22">
            <v>2328</v>
          </cell>
          <cell r="D22" t="str">
            <v>Bradfield Dungworth Primary School</v>
          </cell>
          <cell r="E22">
            <v>126</v>
          </cell>
          <cell r="F22">
            <v>137</v>
          </cell>
          <cell r="G22">
            <v>11</v>
          </cell>
          <cell r="H22">
            <v>604548.91903473251</v>
          </cell>
          <cell r="I22">
            <v>3072</v>
          </cell>
          <cell r="J22">
            <v>137621.36181575432</v>
          </cell>
          <cell r="K22">
            <v>-16752</v>
          </cell>
          <cell r="L22">
            <v>480607.55721897818</v>
          </cell>
          <cell r="M22">
            <v>3814.3456922141127</v>
          </cell>
          <cell r="N22">
            <v>513834.28436299181</v>
          </cell>
          <cell r="O22">
            <v>3750.6152143284075</v>
          </cell>
          <cell r="P22">
            <v>-1.6708102261363596E-2</v>
          </cell>
          <cell r="Q22">
            <v>2.1708102261363597E-2</v>
          </cell>
          <cell r="R22">
            <v>11343.902269508268</v>
          </cell>
          <cell r="S22">
            <v>4858.5076529069656</v>
          </cell>
          <cell r="T22">
            <v>3814.3456922141127</v>
          </cell>
          <cell r="U22">
            <v>3833.4174206751827</v>
          </cell>
          <cell r="V22">
            <v>19.071728461070052</v>
          </cell>
          <cell r="W22">
            <v>0.49999999999998657</v>
          </cell>
          <cell r="X22">
            <v>0</v>
          </cell>
          <cell r="Y22">
            <v>0</v>
          </cell>
          <cell r="Z22">
            <v>0</v>
          </cell>
        </row>
        <row r="23">
          <cell r="C23">
            <v>2233</v>
          </cell>
          <cell r="D23" t="str">
            <v>Bradway Primary School</v>
          </cell>
          <cell r="E23">
            <v>413</v>
          </cell>
          <cell r="F23">
            <v>414</v>
          </cell>
          <cell r="G23">
            <v>1</v>
          </cell>
          <cell r="H23">
            <v>1786395</v>
          </cell>
          <cell r="I23">
            <v>24950</v>
          </cell>
          <cell r="J23">
            <v>128000</v>
          </cell>
          <cell r="K23">
            <v>-49011</v>
          </cell>
          <cell r="L23">
            <v>1682456</v>
          </cell>
          <cell r="M23">
            <v>4073.7433414043585</v>
          </cell>
          <cell r="N23">
            <v>1695669.9999999995</v>
          </cell>
          <cell r="O23">
            <v>4095.8212560386464</v>
          </cell>
          <cell r="P23">
            <v>5.4195644605035242E-3</v>
          </cell>
          <cell r="Q23">
            <v>0</v>
          </cell>
          <cell r="R23">
            <v>0</v>
          </cell>
          <cell r="S23">
            <v>4465.2657004830908</v>
          </cell>
          <cell r="T23">
            <v>4073.7433414043585</v>
          </cell>
          <cell r="U23">
            <v>4095.8212560386464</v>
          </cell>
          <cell r="V23">
            <v>22.077914634287936</v>
          </cell>
          <cell r="W23">
            <v>0.54195644605035243</v>
          </cell>
          <cell r="X23">
            <v>0</v>
          </cell>
          <cell r="Y23">
            <v>0</v>
          </cell>
          <cell r="Z23">
            <v>0</v>
          </cell>
        </row>
        <row r="24">
          <cell r="C24">
            <v>2014</v>
          </cell>
          <cell r="D24" t="str">
            <v>Brightside Nursery and Infant School</v>
          </cell>
          <cell r="E24">
            <v>171</v>
          </cell>
          <cell r="F24">
            <v>173</v>
          </cell>
          <cell r="G24">
            <v>2</v>
          </cell>
          <cell r="H24">
            <v>912622.76588122279</v>
          </cell>
          <cell r="I24">
            <v>16841.25</v>
          </cell>
          <cell r="J24">
            <v>128000</v>
          </cell>
          <cell r="K24">
            <v>-25282</v>
          </cell>
          <cell r="L24">
            <v>793063.51588122279</v>
          </cell>
          <cell r="M24">
            <v>4637.798338486683</v>
          </cell>
          <cell r="N24">
            <v>823461.11762560031</v>
          </cell>
          <cell r="O24">
            <v>4759.8908533271697</v>
          </cell>
          <cell r="P24">
            <v>2.6325533352173653E-2</v>
          </cell>
          <cell r="Q24">
            <v>0</v>
          </cell>
          <cell r="R24">
            <v>0</v>
          </cell>
          <cell r="S24">
            <v>5597.1220672000018</v>
          </cell>
          <cell r="T24">
            <v>4637.798338486683</v>
          </cell>
          <cell r="U24">
            <v>4759.8908533271697</v>
          </cell>
          <cell r="V24">
            <v>122.09251484048673</v>
          </cell>
          <cell r="W24">
            <v>2.6325533352173651</v>
          </cell>
          <cell r="X24">
            <v>0</v>
          </cell>
          <cell r="Y24">
            <v>0</v>
          </cell>
          <cell r="Z24">
            <v>0</v>
          </cell>
        </row>
        <row r="25">
          <cell r="C25">
            <v>2246</v>
          </cell>
          <cell r="D25" t="str">
            <v>Brook House Junior</v>
          </cell>
          <cell r="E25">
            <v>339</v>
          </cell>
          <cell r="F25">
            <v>340</v>
          </cell>
          <cell r="G25">
            <v>1</v>
          </cell>
          <cell r="H25">
            <v>1468663.9999999995</v>
          </cell>
          <cell r="I25">
            <v>4684.8</v>
          </cell>
          <cell r="J25">
            <v>128000</v>
          </cell>
          <cell r="K25">
            <v>-41068</v>
          </cell>
          <cell r="L25">
            <v>1377047.1999999995</v>
          </cell>
          <cell r="M25">
            <v>4062.0861356932137</v>
          </cell>
          <cell r="N25">
            <v>1369699.9999999995</v>
          </cell>
          <cell r="O25">
            <v>4028.5294117647045</v>
          </cell>
          <cell r="P25">
            <v>-8.260958238588063E-3</v>
          </cell>
          <cell r="Q25">
            <v>1.3260958238588062E-2</v>
          </cell>
          <cell r="R25">
            <v>18314.832566371591</v>
          </cell>
          <cell r="S25">
            <v>4472.646566371679</v>
          </cell>
          <cell r="T25">
            <v>4062.0861356932137</v>
          </cell>
          <cell r="U25">
            <v>4082.3965663716799</v>
          </cell>
          <cell r="V25">
            <v>20.310430678466219</v>
          </cell>
          <cell r="W25">
            <v>0.50000000000000366</v>
          </cell>
          <cell r="X25">
            <v>0</v>
          </cell>
          <cell r="Y25">
            <v>0</v>
          </cell>
          <cell r="Z25">
            <v>0</v>
          </cell>
        </row>
        <row r="26">
          <cell r="C26">
            <v>5204</v>
          </cell>
          <cell r="D26" t="str">
            <v>Broomhill Infant School</v>
          </cell>
          <cell r="E26">
            <v>112</v>
          </cell>
          <cell r="F26">
            <v>119</v>
          </cell>
          <cell r="G26">
            <v>7</v>
          </cell>
          <cell r="H26">
            <v>604078.7788018646</v>
          </cell>
          <cell r="I26">
            <v>1561.6</v>
          </cell>
          <cell r="J26">
            <v>128000</v>
          </cell>
          <cell r="K26">
            <v>-15564</v>
          </cell>
          <cell r="L26">
            <v>490081.17880186462</v>
          </cell>
          <cell r="M26">
            <v>4375.7248107309342</v>
          </cell>
          <cell r="N26">
            <v>494930.6537744354</v>
          </cell>
          <cell r="O26">
            <v>4159.0811241549191</v>
          </cell>
          <cell r="P26">
            <v>-4.9510354500521332E-2</v>
          </cell>
          <cell r="Q26">
            <v>5.451035450052133E-2</v>
          </cell>
          <cell r="R26">
            <v>28384.154964930709</v>
          </cell>
          <cell r="S26">
            <v>5486.3597373055991</v>
          </cell>
          <cell r="T26">
            <v>4375.7248107309342</v>
          </cell>
          <cell r="U26">
            <v>4397.6034347845889</v>
          </cell>
          <cell r="V26">
            <v>21.878624053654676</v>
          </cell>
          <cell r="W26">
            <v>0.50000000000000011</v>
          </cell>
          <cell r="X26">
            <v>0</v>
          </cell>
          <cell r="Y26">
            <v>0</v>
          </cell>
          <cell r="Z26">
            <v>0</v>
          </cell>
        </row>
        <row r="27">
          <cell r="C27">
            <v>2325</v>
          </cell>
          <cell r="D27" t="str">
            <v>Brunswick Community Primary School</v>
          </cell>
          <cell r="E27">
            <v>413</v>
          </cell>
          <cell r="F27">
            <v>417</v>
          </cell>
          <cell r="G27">
            <v>4</v>
          </cell>
          <cell r="H27">
            <v>1936730.1477011365</v>
          </cell>
          <cell r="I27">
            <v>35072</v>
          </cell>
          <cell r="J27">
            <v>128000</v>
          </cell>
          <cell r="K27">
            <v>-56916</v>
          </cell>
          <cell r="L27">
            <v>1830574.1477011365</v>
          </cell>
          <cell r="M27">
            <v>4432.3829242158272</v>
          </cell>
          <cell r="N27">
            <v>1858379.2792386082</v>
          </cell>
          <cell r="O27">
            <v>4456.5450341453434</v>
          </cell>
          <cell r="P27">
            <v>5.451268616145327E-3</v>
          </cell>
          <cell r="Q27">
            <v>0</v>
          </cell>
          <cell r="R27">
            <v>0</v>
          </cell>
          <cell r="S27">
            <v>4847.6049861837128</v>
          </cell>
          <cell r="T27">
            <v>4432.3829242158272</v>
          </cell>
          <cell r="U27">
            <v>4456.5450341453434</v>
          </cell>
          <cell r="V27">
            <v>24.162109929516191</v>
          </cell>
          <cell r="W27">
            <v>0.54512686161453272</v>
          </cell>
          <cell r="X27">
            <v>0</v>
          </cell>
          <cell r="Y27">
            <v>0</v>
          </cell>
          <cell r="Z27">
            <v>0</v>
          </cell>
        </row>
        <row r="28">
          <cell r="C28">
            <v>2095</v>
          </cell>
          <cell r="D28" t="str">
            <v>Byron Wood Primary Academy</v>
          </cell>
          <cell r="E28">
            <v>395</v>
          </cell>
          <cell r="F28">
            <v>395</v>
          </cell>
          <cell r="G28">
            <v>0</v>
          </cell>
          <cell r="H28">
            <v>2019788.8188171724</v>
          </cell>
          <cell r="I28">
            <v>5468</v>
          </cell>
          <cell r="J28">
            <v>128000</v>
          </cell>
          <cell r="K28">
            <v>-59250</v>
          </cell>
          <cell r="L28">
            <v>1945570.8188171724</v>
          </cell>
          <cell r="M28">
            <v>4925.4957438409429</v>
          </cell>
          <cell r="N28">
            <v>1971089.3569152439</v>
          </cell>
          <cell r="O28">
            <v>4990.0996377601114</v>
          </cell>
          <cell r="P28">
            <v>1.3116221651384445E-2</v>
          </cell>
          <cell r="Q28">
            <v>0</v>
          </cell>
          <cell r="R28">
            <v>0</v>
          </cell>
          <cell r="S28">
            <v>5327.993308646187</v>
          </cell>
          <cell r="T28">
            <v>4925.4957438409429</v>
          </cell>
          <cell r="U28">
            <v>4990.0996377601114</v>
          </cell>
          <cell r="V28">
            <v>64.603893919168513</v>
          </cell>
          <cell r="W28">
            <v>1.3116221651384445</v>
          </cell>
          <cell r="X28">
            <v>0</v>
          </cell>
          <cell r="Y28">
            <v>0</v>
          </cell>
          <cell r="Z28">
            <v>0</v>
          </cell>
        </row>
        <row r="29">
          <cell r="C29">
            <v>2344</v>
          </cell>
          <cell r="D29" t="str">
            <v>Carfield Primary School</v>
          </cell>
          <cell r="E29">
            <v>550</v>
          </cell>
          <cell r="F29">
            <v>570</v>
          </cell>
          <cell r="G29">
            <v>20</v>
          </cell>
          <cell r="H29">
            <v>2388290.0936125033</v>
          </cell>
          <cell r="I29">
            <v>31488</v>
          </cell>
          <cell r="J29">
            <v>128000</v>
          </cell>
          <cell r="K29">
            <v>-70120</v>
          </cell>
          <cell r="L29">
            <v>2298922.0936125033</v>
          </cell>
          <cell r="M29">
            <v>4179.858352022733</v>
          </cell>
          <cell r="N29">
            <v>2389554.1255966397</v>
          </cell>
          <cell r="O29">
            <v>4192.200220344982</v>
          </cell>
          <cell r="P29">
            <v>2.9527001354666556E-3</v>
          </cell>
          <cell r="Q29">
            <v>2.0472998645333445E-3</v>
          </cell>
          <cell r="R29">
            <v>4877.7313595828846</v>
          </cell>
          <cell r="S29">
            <v>4480.5611525547738</v>
          </cell>
          <cell r="T29">
            <v>4179.858352022733</v>
          </cell>
          <cell r="U29">
            <v>4200.7576437828466</v>
          </cell>
          <cell r="V29">
            <v>20.899291760113556</v>
          </cell>
          <cell r="W29">
            <v>0.49999999999999739</v>
          </cell>
          <cell r="X29">
            <v>0</v>
          </cell>
          <cell r="Y29">
            <v>0</v>
          </cell>
          <cell r="Z29">
            <v>0</v>
          </cell>
        </row>
        <row r="30">
          <cell r="C30">
            <v>2023</v>
          </cell>
          <cell r="D30" t="str">
            <v>Carter Knowle Junior School</v>
          </cell>
          <cell r="E30">
            <v>223</v>
          </cell>
          <cell r="F30">
            <v>236</v>
          </cell>
          <cell r="G30">
            <v>13</v>
          </cell>
          <cell r="H30">
            <v>989635.71501603071</v>
          </cell>
          <cell r="I30">
            <v>16467</v>
          </cell>
          <cell r="J30">
            <v>128000</v>
          </cell>
          <cell r="K30">
            <v>-27861</v>
          </cell>
          <cell r="L30">
            <v>873029.71501603071</v>
          </cell>
          <cell r="M30">
            <v>3914.9314574709897</v>
          </cell>
          <cell r="N30">
            <v>921150.19487000466</v>
          </cell>
          <cell r="O30">
            <v>3903.1787918220539</v>
          </cell>
          <cell r="P30">
            <v>-3.0020105783736847E-3</v>
          </cell>
          <cell r="Q30">
            <v>8.0020105783736844E-3</v>
          </cell>
          <cell r="R30">
            <v>7393.2482129646205</v>
          </cell>
          <cell r="S30">
            <v>4546.650182554954</v>
          </cell>
          <cell r="T30">
            <v>3914.9314574709897</v>
          </cell>
          <cell r="U30">
            <v>3934.5061147583442</v>
          </cell>
          <cell r="V30">
            <v>19.574657287354512</v>
          </cell>
          <cell r="W30">
            <v>0.49999999999998884</v>
          </cell>
          <cell r="X30">
            <v>0</v>
          </cell>
          <cell r="Y30">
            <v>0</v>
          </cell>
          <cell r="Z30">
            <v>0</v>
          </cell>
        </row>
        <row r="31">
          <cell r="C31">
            <v>2354</v>
          </cell>
          <cell r="D31" t="str">
            <v>Charnock Hall Primary Academy</v>
          </cell>
          <cell r="E31">
            <v>401</v>
          </cell>
          <cell r="F31">
            <v>407</v>
          </cell>
          <cell r="G31">
            <v>6</v>
          </cell>
          <cell r="H31">
            <v>1737328.1265131421</v>
          </cell>
          <cell r="I31">
            <v>4889.5999999999995</v>
          </cell>
          <cell r="J31">
            <v>128000</v>
          </cell>
          <cell r="K31">
            <v>-49547</v>
          </cell>
          <cell r="L31">
            <v>1653985.526513142</v>
          </cell>
          <cell r="M31">
            <v>4124.6521858183096</v>
          </cell>
          <cell r="N31">
            <v>1706716.8937538683</v>
          </cell>
          <cell r="O31">
            <v>4193.4076013608556</v>
          </cell>
          <cell r="P31">
            <v>1.6669385064502169E-2</v>
          </cell>
          <cell r="Q31">
            <v>0</v>
          </cell>
          <cell r="R31">
            <v>0</v>
          </cell>
          <cell r="S31">
            <v>4519.9186578719118</v>
          </cell>
          <cell r="T31">
            <v>4124.6521858183096</v>
          </cell>
          <cell r="U31">
            <v>4193.4076013608556</v>
          </cell>
          <cell r="V31">
            <v>68.755415542545961</v>
          </cell>
          <cell r="W31">
            <v>1.6669385064502169</v>
          </cell>
          <cell r="X31">
            <v>0</v>
          </cell>
          <cell r="Y31">
            <v>0</v>
          </cell>
          <cell r="Z31">
            <v>0</v>
          </cell>
        </row>
        <row r="32">
          <cell r="C32">
            <v>5200</v>
          </cell>
          <cell r="D32" t="str">
            <v>Clifford All Saints CofE Primary School</v>
          </cell>
          <cell r="E32">
            <v>191</v>
          </cell>
          <cell r="F32">
            <v>184</v>
          </cell>
          <cell r="G32">
            <v>-7</v>
          </cell>
          <cell r="H32">
            <v>938481.51565475482</v>
          </cell>
          <cell r="I32">
            <v>5888</v>
          </cell>
          <cell r="J32">
            <v>128000</v>
          </cell>
          <cell r="K32">
            <v>-24417</v>
          </cell>
          <cell r="L32">
            <v>829010.51565475482</v>
          </cell>
          <cell r="M32">
            <v>4340.3691919097109</v>
          </cell>
          <cell r="N32">
            <v>797083.87020127545</v>
          </cell>
          <cell r="O32">
            <v>4331.9775554417147</v>
          </cell>
          <cell r="P32">
            <v>-1.9333923214730102E-3</v>
          </cell>
          <cell r="Q32">
            <v>6.9333923214730106E-3</v>
          </cell>
          <cell r="R32">
            <v>5537.2007666682448</v>
          </cell>
          <cell r="S32">
            <v>5092.0873422170871</v>
          </cell>
          <cell r="T32">
            <v>4340.3691919097109</v>
          </cell>
          <cell r="U32">
            <v>4362.0710378692593</v>
          </cell>
          <cell r="V32">
            <v>21.701845959548336</v>
          </cell>
          <cell r="W32">
            <v>0.499999999999995</v>
          </cell>
          <cell r="X32">
            <v>0</v>
          </cell>
          <cell r="Y32">
            <v>0</v>
          </cell>
          <cell r="Z32">
            <v>0</v>
          </cell>
        </row>
        <row r="33">
          <cell r="C33">
            <v>2312</v>
          </cell>
          <cell r="D33" t="str">
            <v>Coit Primary School</v>
          </cell>
          <cell r="E33">
            <v>201</v>
          </cell>
          <cell r="F33">
            <v>205</v>
          </cell>
          <cell r="G33">
            <v>4</v>
          </cell>
          <cell r="H33">
            <v>902822.52562095353</v>
          </cell>
          <cell r="I33">
            <v>16467</v>
          </cell>
          <cell r="J33">
            <v>128000</v>
          </cell>
          <cell r="K33">
            <v>-25557</v>
          </cell>
          <cell r="L33">
            <v>783912.52562095353</v>
          </cell>
          <cell r="M33">
            <v>3900.0623165221568</v>
          </cell>
          <cell r="N33">
            <v>813931.96124488336</v>
          </cell>
          <cell r="O33">
            <v>3970.3998109506506</v>
          </cell>
          <cell r="P33">
            <v>1.8034966808226936E-2</v>
          </cell>
          <cell r="Q33">
            <v>0</v>
          </cell>
          <cell r="R33">
            <v>0</v>
          </cell>
          <cell r="S33">
            <v>4675.1168841213821</v>
          </cell>
          <cell r="T33">
            <v>3900.0623165221568</v>
          </cell>
          <cell r="U33">
            <v>3970.3998109506506</v>
          </cell>
          <cell r="V33">
            <v>70.337494428493756</v>
          </cell>
          <cell r="W33">
            <v>1.8034966808226935</v>
          </cell>
          <cell r="X33">
            <v>0</v>
          </cell>
          <cell r="Y33">
            <v>0</v>
          </cell>
          <cell r="Z33">
            <v>0</v>
          </cell>
        </row>
        <row r="34">
          <cell r="C34">
            <v>2026</v>
          </cell>
          <cell r="D34" t="str">
            <v>Concord Junior School</v>
          </cell>
          <cell r="E34">
            <v>190</v>
          </cell>
          <cell r="F34">
            <v>198</v>
          </cell>
          <cell r="G34">
            <v>8</v>
          </cell>
          <cell r="H34">
            <v>1015832.3793844078</v>
          </cell>
          <cell r="I34">
            <v>3660.7999999999997</v>
          </cell>
          <cell r="J34">
            <v>128000</v>
          </cell>
          <cell r="K34">
            <v>-30780</v>
          </cell>
          <cell r="L34">
            <v>914951.57938440773</v>
          </cell>
          <cell r="M34">
            <v>4815.5346283389881</v>
          </cell>
          <cell r="N34">
            <v>959150.56028191303</v>
          </cell>
          <cell r="O34">
            <v>4844.1947488985506</v>
          </cell>
          <cell r="P34">
            <v>5.9515968156267215E-3</v>
          </cell>
          <cell r="Q34">
            <v>0</v>
          </cell>
          <cell r="R34">
            <v>0</v>
          </cell>
          <cell r="S34">
            <v>5509.1492943530957</v>
          </cell>
          <cell r="T34">
            <v>4815.5346283389881</v>
          </cell>
          <cell r="U34">
            <v>4844.1947488985506</v>
          </cell>
          <cell r="V34">
            <v>28.660120559562529</v>
          </cell>
          <cell r="W34">
            <v>0.59515968156267218</v>
          </cell>
          <cell r="X34">
            <v>0</v>
          </cell>
          <cell r="Y34">
            <v>0</v>
          </cell>
          <cell r="Z34">
            <v>0</v>
          </cell>
        </row>
        <row r="35">
          <cell r="C35">
            <v>3422</v>
          </cell>
          <cell r="D35" t="str">
            <v>Deepcar St John's Church of England Junior School</v>
          </cell>
          <cell r="E35">
            <v>166</v>
          </cell>
          <cell r="F35">
            <v>175</v>
          </cell>
          <cell r="G35">
            <v>9</v>
          </cell>
          <cell r="H35">
            <v>790156.98429741466</v>
          </cell>
          <cell r="I35">
            <v>3276.8</v>
          </cell>
          <cell r="J35">
            <v>128000</v>
          </cell>
          <cell r="K35">
            <v>-23012</v>
          </cell>
          <cell r="L35">
            <v>681892.18429741473</v>
          </cell>
          <cell r="M35">
            <v>4107.7842427555106</v>
          </cell>
          <cell r="N35">
            <v>713986.53650580999</v>
          </cell>
          <cell r="O35">
            <v>4079.9230657474855</v>
          </cell>
          <cell r="P35">
            <v>-6.7825317401129653E-3</v>
          </cell>
          <cell r="Q35">
            <v>1.1782531740112966E-2</v>
          </cell>
          <cell r="R35">
            <v>8470.0171888154746</v>
          </cell>
          <cell r="S35">
            <v>4878.4774496835726</v>
          </cell>
          <cell r="T35">
            <v>4107.7842427555106</v>
          </cell>
          <cell r="U35">
            <v>4128.3231639692885</v>
          </cell>
          <cell r="V35">
            <v>20.53892121377794</v>
          </cell>
          <cell r="W35">
            <v>0.50000000000000933</v>
          </cell>
          <cell r="X35">
            <v>0</v>
          </cell>
          <cell r="Y35">
            <v>0</v>
          </cell>
          <cell r="Z35">
            <v>0</v>
          </cell>
        </row>
        <row r="36">
          <cell r="C36">
            <v>2283</v>
          </cell>
          <cell r="D36" t="str">
            <v>Dobcroft Infant School</v>
          </cell>
          <cell r="E36">
            <v>270</v>
          </cell>
          <cell r="F36">
            <v>269</v>
          </cell>
          <cell r="G36">
            <v>-1</v>
          </cell>
          <cell r="H36">
            <v>1186275.9679441454</v>
          </cell>
          <cell r="I36">
            <v>21529.599999999999</v>
          </cell>
          <cell r="J36">
            <v>128000</v>
          </cell>
          <cell r="K36">
            <v>-30465</v>
          </cell>
          <cell r="L36">
            <v>1067211.3679441453</v>
          </cell>
          <cell r="M36">
            <v>3952.6346960894271</v>
          </cell>
          <cell r="N36">
            <v>1056944.9999999995</v>
          </cell>
          <cell r="O36">
            <v>3929.1635687732323</v>
          </cell>
          <cell r="P36">
            <v>-5.9380967685721334E-3</v>
          </cell>
          <cell r="Q36">
            <v>1.0938096768572134E-2</v>
          </cell>
          <cell r="R36">
            <v>11630.026914296661</v>
          </cell>
          <cell r="S36">
            <v>4506.1896911312151</v>
          </cell>
          <cell r="T36">
            <v>3952.6346960894271</v>
          </cell>
          <cell r="U36">
            <v>3972.3978695698743</v>
          </cell>
          <cell r="V36">
            <v>19.763173480447222</v>
          </cell>
          <cell r="W36">
            <v>0.50000000000000222</v>
          </cell>
          <cell r="X36">
            <v>0</v>
          </cell>
          <cell r="Y36">
            <v>0</v>
          </cell>
          <cell r="Z36">
            <v>0</v>
          </cell>
        </row>
        <row r="37">
          <cell r="C37">
            <v>2239</v>
          </cell>
          <cell r="D37" t="str">
            <v>Dobcroft Junior School</v>
          </cell>
          <cell r="E37">
            <v>419</v>
          </cell>
          <cell r="F37">
            <v>382</v>
          </cell>
          <cell r="G37">
            <v>-37</v>
          </cell>
          <cell r="H37">
            <v>1808320</v>
          </cell>
          <cell r="I37">
            <v>15590.4</v>
          </cell>
          <cell r="J37">
            <v>128000</v>
          </cell>
          <cell r="K37">
            <v>-46533</v>
          </cell>
          <cell r="L37">
            <v>1711262.6</v>
          </cell>
          <cell r="M37">
            <v>4084.1589498806684</v>
          </cell>
          <cell r="N37">
            <v>1554710</v>
          </cell>
          <cell r="O37">
            <v>4069.9214659685863</v>
          </cell>
          <cell r="P37">
            <v>-3.4860259080999015E-3</v>
          </cell>
          <cell r="Q37">
            <v>8.486025908099902E-3</v>
          </cell>
          <cell r="R37">
            <v>13239.462448687438</v>
          </cell>
          <cell r="S37">
            <v>4496.0195352059891</v>
          </cell>
          <cell r="T37">
            <v>4084.1589498806684</v>
          </cell>
          <cell r="U37">
            <v>4104.5797446300721</v>
          </cell>
          <cell r="V37">
            <v>20.42079474940374</v>
          </cell>
          <cell r="W37">
            <v>0.50000000000000977</v>
          </cell>
          <cell r="X37">
            <v>0</v>
          </cell>
          <cell r="Y37">
            <v>0</v>
          </cell>
          <cell r="Z37">
            <v>0</v>
          </cell>
        </row>
        <row r="38">
          <cell r="C38">
            <v>2364</v>
          </cell>
          <cell r="D38" t="str">
            <v>Dore Primary School</v>
          </cell>
          <cell r="E38">
            <v>446</v>
          </cell>
          <cell r="F38">
            <v>448</v>
          </cell>
          <cell r="G38">
            <v>2</v>
          </cell>
          <cell r="H38">
            <v>1932988.0000000005</v>
          </cell>
          <cell r="I38">
            <v>31232</v>
          </cell>
          <cell r="J38">
            <v>128000</v>
          </cell>
          <cell r="K38">
            <v>-49577</v>
          </cell>
          <cell r="L38">
            <v>1823333.0000000005</v>
          </cell>
          <cell r="M38">
            <v>4088.1905829596421</v>
          </cell>
          <cell r="N38">
            <v>1845440</v>
          </cell>
          <cell r="O38">
            <v>4119.2857142857147</v>
          </cell>
          <cell r="P38">
            <v>7.6060865302324627E-3</v>
          </cell>
          <cell r="Q38">
            <v>0</v>
          </cell>
          <cell r="R38">
            <v>0</v>
          </cell>
          <cell r="S38">
            <v>4472.4285714285716</v>
          </cell>
          <cell r="T38">
            <v>4088.1905829596421</v>
          </cell>
          <cell r="U38">
            <v>4119.2857142857147</v>
          </cell>
          <cell r="V38">
            <v>31.095131326072533</v>
          </cell>
          <cell r="W38">
            <v>0.76060865302324632</v>
          </cell>
          <cell r="X38">
            <v>0</v>
          </cell>
          <cell r="Y38">
            <v>0</v>
          </cell>
          <cell r="Z38">
            <v>0</v>
          </cell>
        </row>
        <row r="39">
          <cell r="C39">
            <v>2016</v>
          </cell>
          <cell r="D39" t="str">
            <v>E-ACT Pathways Academy</v>
          </cell>
          <cell r="E39">
            <v>350</v>
          </cell>
          <cell r="F39">
            <v>365</v>
          </cell>
          <cell r="G39">
            <v>15</v>
          </cell>
          <cell r="H39">
            <v>1816031.3713441554</v>
          </cell>
          <cell r="I39">
            <v>6451.2</v>
          </cell>
          <cell r="J39">
            <v>128000</v>
          </cell>
          <cell r="K39">
            <v>-55140</v>
          </cell>
          <cell r="L39">
            <v>1736720.1713441554</v>
          </cell>
          <cell r="M39">
            <v>4962.0576324118729</v>
          </cell>
          <cell r="N39">
            <v>1864495.3811137737</v>
          </cell>
          <cell r="O39">
            <v>5108.2065235993796</v>
          </cell>
          <cell r="P39">
            <v>2.945328370087252E-2</v>
          </cell>
          <cell r="Q39">
            <v>0</v>
          </cell>
          <cell r="R39">
            <v>0</v>
          </cell>
          <cell r="S39">
            <v>5476.5654277089689</v>
          </cell>
          <cell r="T39">
            <v>4962.0576324118729</v>
          </cell>
          <cell r="U39">
            <v>5108.2065235993796</v>
          </cell>
          <cell r="V39">
            <v>146.14889118750671</v>
          </cell>
          <cell r="W39">
            <v>2.9453283700872519</v>
          </cell>
          <cell r="X39">
            <v>0</v>
          </cell>
          <cell r="Y39">
            <v>0</v>
          </cell>
          <cell r="Z39">
            <v>0</v>
          </cell>
        </row>
        <row r="40">
          <cell r="C40">
            <v>2206</v>
          </cell>
          <cell r="D40" t="str">
            <v>Ecclesall Primary School</v>
          </cell>
          <cell r="E40">
            <v>601</v>
          </cell>
          <cell r="F40">
            <v>620</v>
          </cell>
          <cell r="G40">
            <v>19</v>
          </cell>
          <cell r="H40">
            <v>2625382.9999999991</v>
          </cell>
          <cell r="I40">
            <v>61440</v>
          </cell>
          <cell r="J40">
            <v>128000</v>
          </cell>
          <cell r="K40">
            <v>-64527</v>
          </cell>
          <cell r="L40">
            <v>2500469.9999999991</v>
          </cell>
          <cell r="M40">
            <v>4160.515806988351</v>
          </cell>
          <cell r="N40">
            <v>2603100</v>
          </cell>
          <cell r="O40">
            <v>4198.5483870967746</v>
          </cell>
          <cell r="P40">
            <v>9.1413136910911234E-3</v>
          </cell>
          <cell r="Q40">
            <v>0</v>
          </cell>
          <cell r="R40">
            <v>0</v>
          </cell>
          <cell r="S40">
            <v>4503.2709677419352</v>
          </cell>
          <cell r="T40">
            <v>4160.515806988351</v>
          </cell>
          <cell r="U40">
            <v>4198.5483870967746</v>
          </cell>
          <cell r="V40">
            <v>38.032580108423645</v>
          </cell>
          <cell r="W40">
            <v>0.9141313691091123</v>
          </cell>
          <cell r="X40">
            <v>0</v>
          </cell>
          <cell r="Y40">
            <v>0</v>
          </cell>
          <cell r="Z40">
            <v>0</v>
          </cell>
        </row>
        <row r="41">
          <cell r="C41">
            <v>2080</v>
          </cell>
          <cell r="D41" t="str">
            <v>Ecclesfield Primary School</v>
          </cell>
          <cell r="E41">
            <v>392</v>
          </cell>
          <cell r="F41">
            <v>395</v>
          </cell>
          <cell r="G41">
            <v>3</v>
          </cell>
          <cell r="H41">
            <v>1763532.5320231398</v>
          </cell>
          <cell r="I41">
            <v>22330.25</v>
          </cell>
          <cell r="J41">
            <v>128000</v>
          </cell>
          <cell r="K41">
            <v>-51394</v>
          </cell>
          <cell r="L41">
            <v>1664596.2820231398</v>
          </cell>
          <cell r="M41">
            <v>4246.4190867937241</v>
          </cell>
          <cell r="N41">
            <v>1701567.9698852601</v>
          </cell>
          <cell r="O41">
            <v>4307.7670123677472</v>
          </cell>
          <cell r="P41">
            <v>1.4446978576564393E-2</v>
          </cell>
          <cell r="Q41">
            <v>0</v>
          </cell>
          <cell r="R41">
            <v>0</v>
          </cell>
          <cell r="S41">
            <v>4688.3492908487597</v>
          </cell>
          <cell r="T41">
            <v>4246.4190867937241</v>
          </cell>
          <cell r="U41">
            <v>4307.7670123677472</v>
          </cell>
          <cell r="V41">
            <v>61.347925574023066</v>
          </cell>
          <cell r="W41">
            <v>1.4446978576564393</v>
          </cell>
          <cell r="X41">
            <v>0</v>
          </cell>
          <cell r="Y41">
            <v>0</v>
          </cell>
          <cell r="Z41">
            <v>0</v>
          </cell>
        </row>
        <row r="42">
          <cell r="C42">
            <v>2024</v>
          </cell>
          <cell r="D42" t="str">
            <v>Emmanuel Anglican/Methodist Junior School</v>
          </cell>
          <cell r="E42">
            <v>187</v>
          </cell>
          <cell r="F42">
            <v>173</v>
          </cell>
          <cell r="G42">
            <v>-14</v>
          </cell>
          <cell r="H42">
            <v>927699.4782004396</v>
          </cell>
          <cell r="I42">
            <v>6144</v>
          </cell>
          <cell r="J42">
            <v>128000</v>
          </cell>
          <cell r="K42">
            <v>-27599</v>
          </cell>
          <cell r="L42">
            <v>821154.4782004396</v>
          </cell>
          <cell r="M42">
            <v>4391.2004181841694</v>
          </cell>
          <cell r="N42">
            <v>772526.32685777638</v>
          </cell>
          <cell r="O42">
            <v>4465.4700974437937</v>
          </cell>
          <cell r="P42">
            <v>1.6913297546627588E-2</v>
          </cell>
          <cell r="Q42">
            <v>0</v>
          </cell>
          <cell r="R42">
            <v>0</v>
          </cell>
          <cell r="S42">
            <v>5240.8689413744296</v>
          </cell>
          <cell r="T42">
            <v>4391.2004181841694</v>
          </cell>
          <cell r="U42">
            <v>4465.4700974437937</v>
          </cell>
          <cell r="V42">
            <v>74.269679259624354</v>
          </cell>
          <cell r="W42">
            <v>1.6913297546627588</v>
          </cell>
          <cell r="X42">
            <v>0</v>
          </cell>
          <cell r="Y42">
            <v>0</v>
          </cell>
          <cell r="Z42">
            <v>0</v>
          </cell>
        </row>
        <row r="43">
          <cell r="C43">
            <v>2028</v>
          </cell>
          <cell r="D43" t="str">
            <v>Emmaus Catholic and CofE Primary School</v>
          </cell>
          <cell r="E43">
            <v>296</v>
          </cell>
          <cell r="F43">
            <v>293</v>
          </cell>
          <cell r="G43">
            <v>-3</v>
          </cell>
          <cell r="H43">
            <v>1495032.413994719</v>
          </cell>
          <cell r="I43">
            <v>8345.5999999999985</v>
          </cell>
          <cell r="J43">
            <v>128000</v>
          </cell>
          <cell r="K43">
            <v>-44462</v>
          </cell>
          <cell r="L43">
            <v>1403148.8139947189</v>
          </cell>
          <cell r="M43">
            <v>4740.3676148470231</v>
          </cell>
          <cell r="N43">
            <v>1451964.6745809547</v>
          </cell>
          <cell r="O43">
            <v>4955.510834747286</v>
          </cell>
          <cell r="P43">
            <v>4.538534505771781E-2</v>
          </cell>
          <cell r="Q43">
            <v>0</v>
          </cell>
          <cell r="R43">
            <v>0</v>
          </cell>
          <cell r="S43">
            <v>5420.8555446448963</v>
          </cell>
          <cell r="T43">
            <v>4740.3676148470231</v>
          </cell>
          <cell r="U43">
            <v>4955.510834747286</v>
          </cell>
          <cell r="V43">
            <v>215.14321990026292</v>
          </cell>
          <cell r="W43">
            <v>4.5385345057717812</v>
          </cell>
          <cell r="X43">
            <v>0</v>
          </cell>
          <cell r="Y43">
            <v>0</v>
          </cell>
          <cell r="Z43">
            <v>0</v>
          </cell>
        </row>
        <row r="44">
          <cell r="C44">
            <v>2010</v>
          </cell>
          <cell r="D44" t="str">
            <v>Fox Hill Primary</v>
          </cell>
          <cell r="E44">
            <v>291</v>
          </cell>
          <cell r="F44">
            <v>274</v>
          </cell>
          <cell r="G44">
            <v>-17</v>
          </cell>
          <cell r="H44">
            <v>1592591.5279271819</v>
          </cell>
          <cell r="I44">
            <v>7987.2000000000007</v>
          </cell>
          <cell r="J44">
            <v>128000</v>
          </cell>
          <cell r="K44">
            <v>-45507</v>
          </cell>
          <cell r="L44">
            <v>1502111.327927182</v>
          </cell>
          <cell r="M44">
            <v>5161.8945976879104</v>
          </cell>
          <cell r="N44">
            <v>1358340.2612445189</v>
          </cell>
          <cell r="O44">
            <v>4957.4462089216022</v>
          </cell>
          <cell r="P44">
            <v>-3.9607238175278447E-2</v>
          </cell>
          <cell r="Q44">
            <v>4.4607238175278445E-2</v>
          </cell>
          <cell r="R44">
            <v>63090.654120800878</v>
          </cell>
          <cell r="S44">
            <v>5684.006990384376</v>
          </cell>
          <cell r="T44">
            <v>5161.8945976879104</v>
          </cell>
          <cell r="U44">
            <v>5187.7040706763491</v>
          </cell>
          <cell r="V44">
            <v>25.809472988438756</v>
          </cell>
          <cell r="W44">
            <v>0.49999999999998457</v>
          </cell>
          <cell r="X44">
            <v>0</v>
          </cell>
          <cell r="Y44">
            <v>0</v>
          </cell>
          <cell r="Z44">
            <v>0</v>
          </cell>
        </row>
        <row r="45">
          <cell r="C45">
            <v>2036</v>
          </cell>
          <cell r="D45" t="str">
            <v>Gleadless Primary School</v>
          </cell>
          <cell r="E45">
            <v>393</v>
          </cell>
          <cell r="F45">
            <v>398</v>
          </cell>
          <cell r="G45">
            <v>5</v>
          </cell>
          <cell r="H45">
            <v>1790690.8720281909</v>
          </cell>
          <cell r="I45">
            <v>32256</v>
          </cell>
          <cell r="J45">
            <v>128000</v>
          </cell>
          <cell r="K45">
            <v>-52171</v>
          </cell>
          <cell r="L45">
            <v>1682605.8720281909</v>
          </cell>
          <cell r="M45">
            <v>4281.4398779343283</v>
          </cell>
          <cell r="N45">
            <v>1729118.6076512944</v>
          </cell>
          <cell r="O45">
            <v>4344.5191147017449</v>
          </cell>
          <cell r="P45">
            <v>1.473318289309964E-2</v>
          </cell>
          <cell r="Q45">
            <v>0</v>
          </cell>
          <cell r="R45">
            <v>0</v>
          </cell>
          <cell r="S45">
            <v>4747.1723810334033</v>
          </cell>
          <cell r="T45">
            <v>4281.4398779343283</v>
          </cell>
          <cell r="U45">
            <v>4344.5191147017449</v>
          </cell>
          <cell r="V45">
            <v>63.07923676741666</v>
          </cell>
          <cell r="W45">
            <v>1.4733182893099641</v>
          </cell>
          <cell r="X45">
            <v>0</v>
          </cell>
          <cell r="Y45">
            <v>0</v>
          </cell>
          <cell r="Z45">
            <v>0</v>
          </cell>
        </row>
        <row r="46">
          <cell r="C46">
            <v>2305</v>
          </cell>
          <cell r="D46" t="str">
            <v>Greengate Lane Academy</v>
          </cell>
          <cell r="E46">
            <v>187</v>
          </cell>
          <cell r="F46">
            <v>190</v>
          </cell>
          <cell r="G46">
            <v>3</v>
          </cell>
          <cell r="H46">
            <v>988790.48329103843</v>
          </cell>
          <cell r="I46">
            <v>3968</v>
          </cell>
          <cell r="J46">
            <v>128000</v>
          </cell>
          <cell r="K46">
            <v>-30404</v>
          </cell>
          <cell r="L46">
            <v>887226.48329103843</v>
          </cell>
          <cell r="M46">
            <v>4744.5266486151786</v>
          </cell>
          <cell r="N46">
            <v>886436.71654394176</v>
          </cell>
          <cell r="O46">
            <v>4665.4564028628511</v>
          </cell>
          <cell r="P46">
            <v>-1.6665571005994112E-2</v>
          </cell>
          <cell r="Q46">
            <v>2.1665571005994113E-2</v>
          </cell>
          <cell r="R46">
            <v>19530.647009126653</v>
          </cell>
          <cell r="S46">
            <v>5462.8177029108847</v>
          </cell>
          <cell r="T46">
            <v>4744.5266486151786</v>
          </cell>
          <cell r="U46">
            <v>4768.249281858255</v>
          </cell>
          <cell r="V46">
            <v>23.722633243076416</v>
          </cell>
          <cell r="W46">
            <v>0.50000000000001099</v>
          </cell>
          <cell r="X46">
            <v>0</v>
          </cell>
          <cell r="Y46">
            <v>0</v>
          </cell>
          <cell r="Z46">
            <v>0</v>
          </cell>
        </row>
        <row r="47">
          <cell r="C47">
            <v>2341</v>
          </cell>
          <cell r="D47" t="str">
            <v>Greenhill Primary School</v>
          </cell>
          <cell r="E47">
            <v>466</v>
          </cell>
          <cell r="F47">
            <v>468</v>
          </cell>
          <cell r="G47">
            <v>2</v>
          </cell>
          <cell r="H47">
            <v>2079917.9738693286</v>
          </cell>
          <cell r="I47">
            <v>6400</v>
          </cell>
          <cell r="J47">
            <v>128000</v>
          </cell>
          <cell r="K47">
            <v>-61717</v>
          </cell>
          <cell r="L47">
            <v>2007234.9738693286</v>
          </cell>
          <cell r="M47">
            <v>4307.3711885607909</v>
          </cell>
          <cell r="N47">
            <v>2043864.2316005938</v>
          </cell>
          <cell r="O47">
            <v>4367.2312641038325</v>
          </cell>
          <cell r="P47">
            <v>1.3897124933651811E-2</v>
          </cell>
          <cell r="Q47">
            <v>0</v>
          </cell>
          <cell r="R47">
            <v>0</v>
          </cell>
          <cell r="S47">
            <v>4654.4107512833198</v>
          </cell>
          <cell r="T47">
            <v>4307.3711885607909</v>
          </cell>
          <cell r="U47">
            <v>4367.2312641038325</v>
          </cell>
          <cell r="V47">
            <v>59.860075543041603</v>
          </cell>
          <cell r="W47">
            <v>1.389712493365181</v>
          </cell>
          <cell r="X47">
            <v>0</v>
          </cell>
          <cell r="Y47">
            <v>0</v>
          </cell>
          <cell r="Z47">
            <v>0</v>
          </cell>
        </row>
        <row r="48">
          <cell r="C48">
            <v>2296</v>
          </cell>
          <cell r="D48" t="str">
            <v>Grenoside Community Primary School</v>
          </cell>
          <cell r="E48">
            <v>314</v>
          </cell>
          <cell r="F48">
            <v>322</v>
          </cell>
          <cell r="G48">
            <v>8</v>
          </cell>
          <cell r="H48">
            <v>1536309.1992256122</v>
          </cell>
          <cell r="I48">
            <v>172343.3427675202</v>
          </cell>
          <cell r="J48">
            <v>128000</v>
          </cell>
          <cell r="K48">
            <v>-40173</v>
          </cell>
          <cell r="L48">
            <v>1276138.8564580921</v>
          </cell>
          <cell r="M48">
            <v>4064.1364855353254</v>
          </cell>
          <cell r="N48">
            <v>1315714.1401200271</v>
          </cell>
          <cell r="O48">
            <v>4086.0687581367301</v>
          </cell>
          <cell r="P48">
            <v>5.3965393828341972E-3</v>
          </cell>
          <cell r="Q48">
            <v>0</v>
          </cell>
          <cell r="R48">
            <v>0</v>
          </cell>
          <cell r="S48">
            <v>5147.7143703738693</v>
          </cell>
          <cell r="T48">
            <v>4064.1364855353254</v>
          </cell>
          <cell r="U48">
            <v>4086.0687581367301</v>
          </cell>
          <cell r="V48">
            <v>21.932272601404748</v>
          </cell>
          <cell r="W48">
            <v>0.53965393828341968</v>
          </cell>
          <cell r="X48">
            <v>0</v>
          </cell>
          <cell r="Y48">
            <v>0</v>
          </cell>
          <cell r="Z48">
            <v>0</v>
          </cell>
        </row>
        <row r="49">
          <cell r="C49">
            <v>2356</v>
          </cell>
          <cell r="D49" t="str">
            <v>Greystones Primary School</v>
          </cell>
          <cell r="E49">
            <v>625</v>
          </cell>
          <cell r="F49">
            <v>613</v>
          </cell>
          <cell r="G49">
            <v>-12</v>
          </cell>
          <cell r="H49">
            <v>2715737</v>
          </cell>
          <cell r="I49">
            <v>46592</v>
          </cell>
          <cell r="J49">
            <v>128000</v>
          </cell>
          <cell r="K49">
            <v>-67875</v>
          </cell>
          <cell r="L49">
            <v>2609020</v>
          </cell>
          <cell r="M49">
            <v>4174.4319999999998</v>
          </cell>
          <cell r="N49">
            <v>2572264.9999999986</v>
          </cell>
          <cell r="O49">
            <v>4196.1908646003239</v>
          </cell>
          <cell r="P49">
            <v>5.2124132337822635E-3</v>
          </cell>
          <cell r="Q49">
            <v>0</v>
          </cell>
          <cell r="R49">
            <v>0</v>
          </cell>
          <cell r="S49">
            <v>4481.0065252854793</v>
          </cell>
          <cell r="T49">
            <v>4174.4319999999998</v>
          </cell>
          <cell r="U49">
            <v>4196.1908646003239</v>
          </cell>
          <cell r="V49">
            <v>21.758864600324159</v>
          </cell>
          <cell r="W49">
            <v>0.52124132337822637</v>
          </cell>
          <cell r="X49">
            <v>0</v>
          </cell>
          <cell r="Y49">
            <v>0</v>
          </cell>
          <cell r="Z49">
            <v>0</v>
          </cell>
        </row>
        <row r="50">
          <cell r="C50">
            <v>2279</v>
          </cell>
          <cell r="D50" t="str">
            <v>Halfway Junior School</v>
          </cell>
          <cell r="E50">
            <v>211</v>
          </cell>
          <cell r="F50">
            <v>206</v>
          </cell>
          <cell r="G50">
            <v>-5</v>
          </cell>
          <cell r="H50">
            <v>974372.53691869427</v>
          </cell>
          <cell r="I50">
            <v>14970</v>
          </cell>
          <cell r="J50">
            <v>128000</v>
          </cell>
          <cell r="K50">
            <v>-28397</v>
          </cell>
          <cell r="L50">
            <v>859799.53691869427</v>
          </cell>
          <cell r="M50">
            <v>4074.8793218895462</v>
          </cell>
          <cell r="N50">
            <v>852622.8064917383</v>
          </cell>
          <cell r="O50">
            <v>4138.9456625812536</v>
          </cell>
          <cell r="P50">
            <v>1.5722267000044424E-2</v>
          </cell>
          <cell r="Q50">
            <v>0</v>
          </cell>
          <cell r="R50">
            <v>0</v>
          </cell>
          <cell r="S50">
            <v>4832.9747887948461</v>
          </cell>
          <cell r="T50">
            <v>4074.8793218895462</v>
          </cell>
          <cell r="U50">
            <v>4138.9456625812536</v>
          </cell>
          <cell r="V50">
            <v>64.06634069170741</v>
          </cell>
          <cell r="W50">
            <v>1.5722267000044425</v>
          </cell>
          <cell r="X50">
            <v>0</v>
          </cell>
          <cell r="Y50">
            <v>0</v>
          </cell>
          <cell r="Z50">
            <v>0</v>
          </cell>
        </row>
        <row r="51">
          <cell r="C51">
            <v>2252</v>
          </cell>
          <cell r="D51" t="str">
            <v>Halfway Nursery Infant School</v>
          </cell>
          <cell r="E51">
            <v>156</v>
          </cell>
          <cell r="F51">
            <v>157</v>
          </cell>
          <cell r="G51">
            <v>1</v>
          </cell>
          <cell r="H51">
            <v>774318.19140702789</v>
          </cell>
          <cell r="I51">
            <v>12475</v>
          </cell>
          <cell r="J51">
            <v>128000</v>
          </cell>
          <cell r="K51">
            <v>-22892</v>
          </cell>
          <cell r="L51">
            <v>656735.19140702789</v>
          </cell>
          <cell r="M51">
            <v>4209.8409705578715</v>
          </cell>
          <cell r="N51">
            <v>675613.88059887534</v>
          </cell>
          <cell r="O51">
            <v>4303.2731248336013</v>
          </cell>
          <cell r="P51">
            <v>2.2193749105764563E-2</v>
          </cell>
          <cell r="Q51">
            <v>0</v>
          </cell>
          <cell r="R51">
            <v>0</v>
          </cell>
          <cell r="S51">
            <v>5198.0183477635373</v>
          </cell>
          <cell r="T51">
            <v>4209.8409705578715</v>
          </cell>
          <cell r="U51">
            <v>4303.2731248336013</v>
          </cell>
          <cell r="V51">
            <v>93.432154275729772</v>
          </cell>
          <cell r="W51">
            <v>2.2193749105764562</v>
          </cell>
          <cell r="X51">
            <v>0</v>
          </cell>
          <cell r="Y51">
            <v>0</v>
          </cell>
          <cell r="Z51">
            <v>0</v>
          </cell>
        </row>
        <row r="52">
          <cell r="C52">
            <v>2357</v>
          </cell>
          <cell r="D52" t="str">
            <v>Hallam Primary School</v>
          </cell>
          <cell r="E52">
            <v>624</v>
          </cell>
          <cell r="F52">
            <v>633</v>
          </cell>
          <cell r="G52">
            <v>9</v>
          </cell>
          <cell r="H52">
            <v>2669552.0000000014</v>
          </cell>
          <cell r="I52">
            <v>8192</v>
          </cell>
          <cell r="J52">
            <v>128000</v>
          </cell>
          <cell r="K52">
            <v>-68118</v>
          </cell>
          <cell r="L52">
            <v>2601478.0000000014</v>
          </cell>
          <cell r="M52">
            <v>4169.0352564102586</v>
          </cell>
          <cell r="N52">
            <v>2660365</v>
          </cell>
          <cell r="O52">
            <v>4202.7883096366513</v>
          </cell>
          <cell r="P52">
            <v>8.0961304355712527E-3</v>
          </cell>
          <cell r="Q52">
            <v>0</v>
          </cell>
          <cell r="R52">
            <v>0</v>
          </cell>
          <cell r="S52">
            <v>4417.9415481832548</v>
          </cell>
          <cell r="T52">
            <v>4169.0352564102586</v>
          </cell>
          <cell r="U52">
            <v>4202.7883096366513</v>
          </cell>
          <cell r="V52">
            <v>33.753053226392694</v>
          </cell>
          <cell r="W52">
            <v>0.80961304355712527</v>
          </cell>
          <cell r="X52">
            <v>0</v>
          </cell>
          <cell r="Y52">
            <v>0</v>
          </cell>
          <cell r="Z52">
            <v>0</v>
          </cell>
        </row>
        <row r="53">
          <cell r="C53">
            <v>2050</v>
          </cell>
          <cell r="D53" t="str">
            <v>Hartley Brook Primary School</v>
          </cell>
          <cell r="E53">
            <v>594</v>
          </cell>
          <cell r="F53">
            <v>570</v>
          </cell>
          <cell r="G53">
            <v>-24</v>
          </cell>
          <cell r="H53">
            <v>2967246.2100933888</v>
          </cell>
          <cell r="I53">
            <v>7168</v>
          </cell>
          <cell r="J53">
            <v>128000</v>
          </cell>
          <cell r="K53">
            <v>-90538</v>
          </cell>
          <cell r="L53">
            <v>2922616.2100933888</v>
          </cell>
          <cell r="M53">
            <v>4920.2293099215303</v>
          </cell>
          <cell r="N53">
            <v>2877858.4258566876</v>
          </cell>
          <cell r="O53">
            <v>5048.874431327522</v>
          </cell>
          <cell r="P53">
            <v>2.6146163786834421E-2</v>
          </cell>
          <cell r="Q53">
            <v>0</v>
          </cell>
          <cell r="R53">
            <v>0</v>
          </cell>
          <cell r="S53">
            <v>5286.0112734327849</v>
          </cell>
          <cell r="T53">
            <v>4920.2293099215303</v>
          </cell>
          <cell r="U53">
            <v>5048.874431327522</v>
          </cell>
          <cell r="V53">
            <v>128.64512140599163</v>
          </cell>
          <cell r="W53">
            <v>2.6146163786834422</v>
          </cell>
          <cell r="X53">
            <v>0</v>
          </cell>
          <cell r="Y53">
            <v>0</v>
          </cell>
          <cell r="Z53">
            <v>0</v>
          </cell>
        </row>
        <row r="54">
          <cell r="C54">
            <v>2049</v>
          </cell>
          <cell r="D54" t="str">
            <v>Hatfield Academy</v>
          </cell>
          <cell r="E54">
            <v>371</v>
          </cell>
          <cell r="F54">
            <v>374</v>
          </cell>
          <cell r="G54">
            <v>3</v>
          </cell>
          <cell r="H54">
            <v>1929781.715832083</v>
          </cell>
          <cell r="I54">
            <v>5120</v>
          </cell>
          <cell r="J54">
            <v>128000</v>
          </cell>
          <cell r="K54">
            <v>-58027</v>
          </cell>
          <cell r="L54">
            <v>1854688.715832083</v>
          </cell>
          <cell r="M54">
            <v>4999.1609591161268</v>
          </cell>
          <cell r="N54">
            <v>1949323.7115685579</v>
          </cell>
          <cell r="O54">
            <v>5212.0954854774272</v>
          </cell>
          <cell r="P54">
            <v>4.2594052902619112E-2</v>
          </cell>
          <cell r="Q54">
            <v>0</v>
          </cell>
          <cell r="R54">
            <v>0</v>
          </cell>
          <cell r="S54">
            <v>5568.0313143544327</v>
          </cell>
          <cell r="T54">
            <v>4999.1609591161268</v>
          </cell>
          <cell r="U54">
            <v>5212.0954854774272</v>
          </cell>
          <cell r="V54">
            <v>212.93452636130041</v>
          </cell>
          <cell r="W54">
            <v>4.2594052902619115</v>
          </cell>
          <cell r="X54">
            <v>0</v>
          </cell>
          <cell r="Y54">
            <v>0</v>
          </cell>
          <cell r="Z54">
            <v>0</v>
          </cell>
        </row>
        <row r="55">
          <cell r="C55">
            <v>2297</v>
          </cell>
          <cell r="D55" t="str">
            <v>High Green Primary School</v>
          </cell>
          <cell r="E55">
            <v>199</v>
          </cell>
          <cell r="F55">
            <v>194</v>
          </cell>
          <cell r="G55">
            <v>-5</v>
          </cell>
          <cell r="H55">
            <v>935044.08312862623</v>
          </cell>
          <cell r="I55">
            <v>10853.25</v>
          </cell>
          <cell r="J55">
            <v>128000</v>
          </cell>
          <cell r="K55">
            <v>-25363</v>
          </cell>
          <cell r="L55">
            <v>821553.83312862623</v>
          </cell>
          <cell r="M55">
            <v>4128.4112217518905</v>
          </cell>
          <cell r="N55">
            <v>809882.44192608143</v>
          </cell>
          <cell r="O55">
            <v>4174.651762505574</v>
          </cell>
          <cell r="P55">
            <v>1.120056560985253E-2</v>
          </cell>
          <cell r="Q55">
            <v>0</v>
          </cell>
          <cell r="R55">
            <v>0</v>
          </cell>
          <cell r="S55">
            <v>4890.3888759076362</v>
          </cell>
          <cell r="T55">
            <v>4128.4112217518905</v>
          </cell>
          <cell r="U55">
            <v>4174.651762505574</v>
          </cell>
          <cell r="V55">
            <v>46.24054075368349</v>
          </cell>
          <cell r="W55">
            <v>1.1200565609852531</v>
          </cell>
          <cell r="X55">
            <v>0</v>
          </cell>
          <cell r="Y55">
            <v>0</v>
          </cell>
          <cell r="Z55">
            <v>0</v>
          </cell>
        </row>
        <row r="56">
          <cell r="C56">
            <v>2042</v>
          </cell>
          <cell r="D56" t="str">
            <v>High Hazels Junior School</v>
          </cell>
          <cell r="E56">
            <v>351</v>
          </cell>
          <cell r="F56">
            <v>356</v>
          </cell>
          <cell r="G56">
            <v>5</v>
          </cell>
          <cell r="H56">
            <v>1727741.160959655</v>
          </cell>
          <cell r="I56">
            <v>5174.3743999999997</v>
          </cell>
          <cell r="J56">
            <v>128000</v>
          </cell>
          <cell r="K56">
            <v>-50817</v>
          </cell>
          <cell r="L56">
            <v>1645383.7865596549</v>
          </cell>
          <cell r="M56">
            <v>4687.7030956115523</v>
          </cell>
          <cell r="N56">
            <v>1717018.0789773287</v>
          </cell>
          <cell r="O56">
            <v>4823.0844915093503</v>
          </cell>
          <cell r="P56">
            <v>2.8880113167691207E-2</v>
          </cell>
          <cell r="Q56">
            <v>0</v>
          </cell>
          <cell r="R56">
            <v>0</v>
          </cell>
          <cell r="S56">
            <v>5197.1687611722718</v>
          </cell>
          <cell r="T56">
            <v>4687.7030956115523</v>
          </cell>
          <cell r="U56">
            <v>4823.0844915093503</v>
          </cell>
          <cell r="V56">
            <v>135.38139589779803</v>
          </cell>
          <cell r="W56">
            <v>2.8880113167691208</v>
          </cell>
          <cell r="X56">
            <v>0</v>
          </cell>
          <cell r="Y56">
            <v>0</v>
          </cell>
          <cell r="Z56">
            <v>0</v>
          </cell>
        </row>
        <row r="57">
          <cell r="C57">
            <v>2039</v>
          </cell>
          <cell r="D57" t="str">
            <v>High Hazels Nursery Infant Academy</v>
          </cell>
          <cell r="E57">
            <v>229</v>
          </cell>
          <cell r="F57">
            <v>248</v>
          </cell>
          <cell r="G57">
            <v>19</v>
          </cell>
          <cell r="H57">
            <v>1231007.8786999257</v>
          </cell>
          <cell r="I57">
            <v>3478.4256</v>
          </cell>
          <cell r="J57">
            <v>128000</v>
          </cell>
          <cell r="K57">
            <v>-33373</v>
          </cell>
          <cell r="L57">
            <v>1132902.4530999258</v>
          </cell>
          <cell r="M57">
            <v>4947.1722842791514</v>
          </cell>
          <cell r="N57">
            <v>1278124.1081570485</v>
          </cell>
          <cell r="O57">
            <v>5153.7262425687441</v>
          </cell>
          <cell r="P57">
            <v>4.1751923406016869E-2</v>
          </cell>
          <cell r="Q57">
            <v>0</v>
          </cell>
          <cell r="R57">
            <v>0</v>
          </cell>
          <cell r="S57">
            <v>5683.8794683751958</v>
          </cell>
          <cell r="T57">
            <v>4947.1722842791514</v>
          </cell>
          <cell r="U57">
            <v>5153.7262425687441</v>
          </cell>
          <cell r="V57">
            <v>206.55395828959263</v>
          </cell>
          <cell r="W57">
            <v>4.1751923406016873</v>
          </cell>
          <cell r="X57">
            <v>0</v>
          </cell>
          <cell r="Y57">
            <v>0</v>
          </cell>
          <cell r="Z57">
            <v>0</v>
          </cell>
        </row>
        <row r="58">
          <cell r="C58">
            <v>2339</v>
          </cell>
          <cell r="D58" t="str">
            <v>Hillsborough Primary School</v>
          </cell>
          <cell r="E58">
            <v>347</v>
          </cell>
          <cell r="F58">
            <v>340</v>
          </cell>
          <cell r="G58">
            <v>-7</v>
          </cell>
          <cell r="H58">
            <v>1704320.2864587028</v>
          </cell>
          <cell r="I58">
            <v>4992</v>
          </cell>
          <cell r="J58">
            <v>128000</v>
          </cell>
          <cell r="K58">
            <v>-50259</v>
          </cell>
          <cell r="L58">
            <v>1621587.2864587028</v>
          </cell>
          <cell r="M58">
            <v>4673.1622088147051</v>
          </cell>
          <cell r="N58">
            <v>1604383.3579284004</v>
          </cell>
          <cell r="O58">
            <v>4718.7745821423541</v>
          </cell>
          <cell r="P58">
            <v>9.7604943482623302E-3</v>
          </cell>
          <cell r="Q58">
            <v>0</v>
          </cell>
          <cell r="R58">
            <v>0</v>
          </cell>
          <cell r="S58">
            <v>5109.9275233188246</v>
          </cell>
          <cell r="T58">
            <v>4673.1622088147051</v>
          </cell>
          <cell r="U58">
            <v>4718.7745821423541</v>
          </cell>
          <cell r="V58">
            <v>45.612373327649038</v>
          </cell>
          <cell r="W58">
            <v>0.97604943482623296</v>
          </cell>
          <cell r="X58">
            <v>0</v>
          </cell>
          <cell r="Y58">
            <v>0</v>
          </cell>
          <cell r="Z58">
            <v>0</v>
          </cell>
        </row>
        <row r="59">
          <cell r="C59">
            <v>2213</v>
          </cell>
          <cell r="D59" t="str">
            <v>Holt House Infant School</v>
          </cell>
          <cell r="E59">
            <v>179</v>
          </cell>
          <cell r="F59">
            <v>179</v>
          </cell>
          <cell r="G59">
            <v>0</v>
          </cell>
          <cell r="H59">
            <v>837435.62825200765</v>
          </cell>
          <cell r="I59">
            <v>13098.75</v>
          </cell>
          <cell r="J59">
            <v>128000</v>
          </cell>
          <cell r="K59">
            <v>-22913</v>
          </cell>
          <cell r="L59">
            <v>719249.87825200765</v>
          </cell>
          <cell r="M59">
            <v>4018.1557444246237</v>
          </cell>
          <cell r="N59">
            <v>709910.70840292249</v>
          </cell>
          <cell r="O59">
            <v>3965.9816111895111</v>
          </cell>
          <cell r="P59">
            <v>-1.2984597052393144E-2</v>
          </cell>
          <cell r="Q59">
            <v>1.7984597052393143E-2</v>
          </cell>
          <cell r="R59">
            <v>12935.419240345185</v>
          </cell>
          <cell r="S59">
            <v>4826.5090929791459</v>
          </cell>
          <cell r="T59">
            <v>4018.1557444246237</v>
          </cell>
          <cell r="U59">
            <v>4038.2465231467463</v>
          </cell>
          <cell r="V59">
            <v>20.09077872212265</v>
          </cell>
          <cell r="W59">
            <v>0.49999999999998829</v>
          </cell>
          <cell r="X59">
            <v>0</v>
          </cell>
          <cell r="Y59">
            <v>0</v>
          </cell>
          <cell r="Z59">
            <v>0</v>
          </cell>
        </row>
        <row r="60">
          <cell r="C60">
            <v>2337</v>
          </cell>
          <cell r="D60" t="str">
            <v>Hucklow Primary School</v>
          </cell>
          <cell r="E60">
            <v>413</v>
          </cell>
          <cell r="F60">
            <v>407</v>
          </cell>
          <cell r="G60">
            <v>-6</v>
          </cell>
          <cell r="H60">
            <v>2150775.2519986625</v>
          </cell>
          <cell r="I60">
            <v>6912</v>
          </cell>
          <cell r="J60">
            <v>128000</v>
          </cell>
          <cell r="K60">
            <v>-60401</v>
          </cell>
          <cell r="L60">
            <v>2076264.2519986625</v>
          </cell>
          <cell r="M60">
            <v>5027.274217914437</v>
          </cell>
          <cell r="N60">
            <v>2086864.4714273377</v>
          </cell>
          <cell r="O60">
            <v>5127.4311337281024</v>
          </cell>
          <cell r="P60">
            <v>1.9922707907350918E-2</v>
          </cell>
          <cell r="Q60">
            <v>0</v>
          </cell>
          <cell r="R60">
            <v>0</v>
          </cell>
          <cell r="S60">
            <v>5453.5638118607803</v>
          </cell>
          <cell r="T60">
            <v>5027.274217914437</v>
          </cell>
          <cell r="U60">
            <v>5127.4311337281024</v>
          </cell>
          <cell r="V60">
            <v>100.15691581366536</v>
          </cell>
          <cell r="W60">
            <v>1.9922707907350918</v>
          </cell>
          <cell r="X60">
            <v>0</v>
          </cell>
          <cell r="Y60">
            <v>0</v>
          </cell>
          <cell r="Z60">
            <v>0</v>
          </cell>
        </row>
        <row r="61">
          <cell r="C61">
            <v>2060</v>
          </cell>
          <cell r="D61" t="str">
            <v>Hunter's Bar Infant School</v>
          </cell>
          <cell r="E61">
            <v>267</v>
          </cell>
          <cell r="F61">
            <v>269</v>
          </cell>
          <cell r="G61">
            <v>2</v>
          </cell>
          <cell r="H61">
            <v>1213373.5888893723</v>
          </cell>
          <cell r="I61">
            <v>13347.328000000001</v>
          </cell>
          <cell r="J61">
            <v>128000</v>
          </cell>
          <cell r="K61">
            <v>-31619</v>
          </cell>
          <cell r="L61">
            <v>1103645.2608893723</v>
          </cell>
          <cell r="M61">
            <v>4133.5028497729299</v>
          </cell>
          <cell r="N61">
            <v>1085210.0138146481</v>
          </cell>
          <cell r="O61">
            <v>4034.2379695711829</v>
          </cell>
          <cell r="P61">
            <v>-2.4014711930632888E-2</v>
          </cell>
          <cell r="Q61">
            <v>2.9014711930632889E-2</v>
          </cell>
          <cell r="R61">
            <v>32261.814107214541</v>
          </cell>
          <cell r="S61">
            <v>4679.6238956203078</v>
          </cell>
          <cell r="T61">
            <v>4133.5028497729299</v>
          </cell>
          <cell r="U61">
            <v>4154.1703640217947</v>
          </cell>
          <cell r="V61">
            <v>20.667514248864791</v>
          </cell>
          <cell r="W61">
            <v>0.50000000000000344</v>
          </cell>
          <cell r="X61">
            <v>0</v>
          </cell>
          <cell r="Y61">
            <v>0</v>
          </cell>
          <cell r="Z61">
            <v>0</v>
          </cell>
        </row>
        <row r="62">
          <cell r="C62">
            <v>2058</v>
          </cell>
          <cell r="D62" t="str">
            <v>Hunter's Bar Junior School</v>
          </cell>
          <cell r="E62">
            <v>362</v>
          </cell>
          <cell r="F62">
            <v>362</v>
          </cell>
          <cell r="G62">
            <v>0</v>
          </cell>
          <cell r="H62">
            <v>1567233.2367642461</v>
          </cell>
          <cell r="I62">
            <v>20188.671999999999</v>
          </cell>
          <cell r="J62">
            <v>128000</v>
          </cell>
          <cell r="K62">
            <v>-43214</v>
          </cell>
          <cell r="L62">
            <v>1462258.5647642461</v>
          </cell>
          <cell r="M62">
            <v>4039.3883004537183</v>
          </cell>
          <cell r="N62">
            <v>1466610.0000000005</v>
          </cell>
          <cell r="O62">
            <v>4051.4088397790069</v>
          </cell>
          <cell r="P62">
            <v>2.9758315940902292E-3</v>
          </cell>
          <cell r="Q62">
            <v>2.0241684059097709E-3</v>
          </cell>
          <cell r="R62">
            <v>2959.8575880667536</v>
          </cell>
          <cell r="S62">
            <v>4468.9471204090287</v>
          </cell>
          <cell r="T62">
            <v>4039.3883004537183</v>
          </cell>
          <cell r="U62">
            <v>4059.5852419559865</v>
          </cell>
          <cell r="V62">
            <v>20.196941502268146</v>
          </cell>
          <cell r="W62">
            <v>0.49999999999998901</v>
          </cell>
          <cell r="X62">
            <v>0</v>
          </cell>
          <cell r="Y62">
            <v>0</v>
          </cell>
          <cell r="Z62">
            <v>0</v>
          </cell>
        </row>
        <row r="63">
          <cell r="C63">
            <v>2063</v>
          </cell>
          <cell r="D63" t="str">
            <v>Intake Primary School</v>
          </cell>
          <cell r="E63">
            <v>409</v>
          </cell>
          <cell r="F63">
            <v>413</v>
          </cell>
          <cell r="G63">
            <v>4</v>
          </cell>
          <cell r="H63">
            <v>1803792.7821557091</v>
          </cell>
          <cell r="I63">
            <v>27648</v>
          </cell>
          <cell r="J63">
            <v>128000</v>
          </cell>
          <cell r="K63">
            <v>-52958</v>
          </cell>
          <cell r="L63">
            <v>1701102.7821557091</v>
          </cell>
          <cell r="M63">
            <v>4159.1755064931767</v>
          </cell>
          <cell r="N63">
            <v>1730620.6164073555</v>
          </cell>
          <cell r="O63">
            <v>4190.3646886376646</v>
          </cell>
          <cell r="P63">
            <v>7.4988857997928355E-3</v>
          </cell>
          <cell r="Q63">
            <v>0</v>
          </cell>
          <cell r="R63">
            <v>0</v>
          </cell>
          <cell r="S63">
            <v>4567.2363593398441</v>
          </cell>
          <cell r="T63">
            <v>4159.1755064931767</v>
          </cell>
          <cell r="U63">
            <v>4190.3646886376646</v>
          </cell>
          <cell r="V63">
            <v>31.189182144487859</v>
          </cell>
          <cell r="W63">
            <v>0.7498885799792836</v>
          </cell>
          <cell r="X63">
            <v>0</v>
          </cell>
          <cell r="Y63">
            <v>0</v>
          </cell>
          <cell r="Z63">
            <v>0</v>
          </cell>
        </row>
        <row r="64">
          <cell r="C64">
            <v>2261</v>
          </cell>
          <cell r="D64" t="str">
            <v>Limpsfield Junior School</v>
          </cell>
          <cell r="E64">
            <v>235</v>
          </cell>
          <cell r="F64">
            <v>225</v>
          </cell>
          <cell r="G64">
            <v>-10</v>
          </cell>
          <cell r="H64">
            <v>1169237.5154380121</v>
          </cell>
          <cell r="I64">
            <v>17589.75</v>
          </cell>
          <cell r="J64">
            <v>128000</v>
          </cell>
          <cell r="K64">
            <v>-33360</v>
          </cell>
          <cell r="L64">
            <v>1057007.7654380121</v>
          </cell>
          <cell r="M64">
            <v>4497.9053848426047</v>
          </cell>
          <cell r="N64">
            <v>1033466.9573538802</v>
          </cell>
          <cell r="O64">
            <v>4593.1864771283563</v>
          </cell>
          <cell r="P64">
            <v>2.1183436318344379E-2</v>
          </cell>
          <cell r="Q64">
            <v>0</v>
          </cell>
          <cell r="R64">
            <v>0</v>
          </cell>
          <cell r="S64">
            <v>5240.2531437950229</v>
          </cell>
          <cell r="T64">
            <v>4497.9053848426047</v>
          </cell>
          <cell r="U64">
            <v>4593.1864771283563</v>
          </cell>
          <cell r="V64">
            <v>95.281092285751583</v>
          </cell>
          <cell r="W64">
            <v>2.118343631834438</v>
          </cell>
          <cell r="X64">
            <v>0</v>
          </cell>
          <cell r="Y64">
            <v>0</v>
          </cell>
          <cell r="Z64">
            <v>0</v>
          </cell>
        </row>
        <row r="65">
          <cell r="C65">
            <v>2315</v>
          </cell>
          <cell r="D65" t="str">
            <v>Lound Infant School</v>
          </cell>
          <cell r="E65">
            <v>145</v>
          </cell>
          <cell r="F65">
            <v>148</v>
          </cell>
          <cell r="G65">
            <v>3</v>
          </cell>
          <cell r="H65">
            <v>687656.8425645323</v>
          </cell>
          <cell r="I65">
            <v>3020.7999999999997</v>
          </cell>
          <cell r="J65">
            <v>128000</v>
          </cell>
          <cell r="K65">
            <v>-19105</v>
          </cell>
          <cell r="L65">
            <v>575741.04256453225</v>
          </cell>
          <cell r="M65">
            <v>3970.627879755395</v>
          </cell>
          <cell r="N65">
            <v>615702.97533737624</v>
          </cell>
          <cell r="O65">
            <v>4160.1552387660558</v>
          </cell>
          <cell r="P65">
            <v>4.7732339758400216E-2</v>
          </cell>
          <cell r="Q65">
            <v>0</v>
          </cell>
          <cell r="R65">
            <v>0</v>
          </cell>
          <cell r="S65">
            <v>5045.4322657930825</v>
          </cell>
          <cell r="T65">
            <v>3970.627879755395</v>
          </cell>
          <cell r="U65">
            <v>4160.1552387660558</v>
          </cell>
          <cell r="V65">
            <v>189.5273590106608</v>
          </cell>
          <cell r="W65">
            <v>4.7732339758400215</v>
          </cell>
          <cell r="X65">
            <v>0</v>
          </cell>
          <cell r="Y65">
            <v>0</v>
          </cell>
          <cell r="Z65">
            <v>0</v>
          </cell>
        </row>
        <row r="66">
          <cell r="C66">
            <v>2298</v>
          </cell>
          <cell r="D66" t="str">
            <v>Lound Junior School</v>
          </cell>
          <cell r="E66">
            <v>209</v>
          </cell>
          <cell r="F66">
            <v>211</v>
          </cell>
          <cell r="G66">
            <v>2</v>
          </cell>
          <cell r="H66">
            <v>928085.72012582642</v>
          </cell>
          <cell r="I66">
            <v>3174.4</v>
          </cell>
          <cell r="J66">
            <v>128000</v>
          </cell>
          <cell r="K66">
            <v>-25993</v>
          </cell>
          <cell r="L66">
            <v>822904.3201258264</v>
          </cell>
          <cell r="M66">
            <v>3937.3412446211792</v>
          </cell>
          <cell r="N66">
            <v>832318.20360452938</v>
          </cell>
          <cell r="O66">
            <v>3944.6360360404237</v>
          </cell>
          <cell r="P66">
            <v>1.8527201393097499E-3</v>
          </cell>
          <cell r="Q66">
            <v>3.1472798606902502E-3</v>
          </cell>
          <cell r="R66">
            <v>2614.6940236147384</v>
          </cell>
          <cell r="S66">
            <v>4578.7056759627685</v>
          </cell>
          <cell r="T66">
            <v>3937.3412446211792</v>
          </cell>
          <cell r="U66">
            <v>3957.027950844285</v>
          </cell>
          <cell r="V66">
            <v>19.68670622310583</v>
          </cell>
          <cell r="W66">
            <v>0.49999999999999833</v>
          </cell>
          <cell r="X66">
            <v>0</v>
          </cell>
          <cell r="Y66">
            <v>0</v>
          </cell>
          <cell r="Z66">
            <v>0</v>
          </cell>
        </row>
        <row r="67">
          <cell r="C67">
            <v>2029</v>
          </cell>
          <cell r="D67" t="str">
            <v>Lowedges Junior Academy</v>
          </cell>
          <cell r="E67">
            <v>302</v>
          </cell>
          <cell r="F67">
            <v>299</v>
          </cell>
          <cell r="G67">
            <v>-3</v>
          </cell>
          <cell r="H67">
            <v>1557950.7716105948</v>
          </cell>
          <cell r="I67">
            <v>4684.8</v>
          </cell>
          <cell r="J67">
            <v>128000</v>
          </cell>
          <cell r="K67">
            <v>-50739</v>
          </cell>
          <cell r="L67">
            <v>1476004.9716105948</v>
          </cell>
          <cell r="M67">
            <v>4887.433680829784</v>
          </cell>
          <cell r="N67">
            <v>1506832.0189740863</v>
          </cell>
          <cell r="O67">
            <v>5039.5719698129978</v>
          </cell>
          <cell r="P67">
            <v>3.1128461053078475E-2</v>
          </cell>
          <cell r="Q67">
            <v>0</v>
          </cell>
          <cell r="R67">
            <v>0</v>
          </cell>
          <cell r="S67">
            <v>5483.3345116190176</v>
          </cell>
          <cell r="T67">
            <v>4887.433680829784</v>
          </cell>
          <cell r="U67">
            <v>5039.5719698129978</v>
          </cell>
          <cell r="V67">
            <v>152.1382889832139</v>
          </cell>
          <cell r="W67">
            <v>3.1128461053078476</v>
          </cell>
          <cell r="X67">
            <v>0</v>
          </cell>
          <cell r="Y67">
            <v>0</v>
          </cell>
          <cell r="Z67">
            <v>0</v>
          </cell>
        </row>
        <row r="68">
          <cell r="C68">
            <v>2045</v>
          </cell>
          <cell r="D68" t="str">
            <v>Lower Meadow Primary School</v>
          </cell>
          <cell r="E68">
            <v>249</v>
          </cell>
          <cell r="F68">
            <v>259</v>
          </cell>
          <cell r="G68">
            <v>10</v>
          </cell>
          <cell r="H68">
            <v>1330484.3108014148</v>
          </cell>
          <cell r="I68">
            <v>5324.8</v>
          </cell>
          <cell r="J68">
            <v>128000</v>
          </cell>
          <cell r="K68">
            <v>-42708</v>
          </cell>
          <cell r="L68">
            <v>1239867.5108014147</v>
          </cell>
          <cell r="M68">
            <v>4979.3875935799788</v>
          </cell>
          <cell r="N68">
            <v>1344759.6014411733</v>
          </cell>
          <cell r="O68">
            <v>5192.1220132863837</v>
          </cell>
          <cell r="P68">
            <v>4.2723008745229531E-2</v>
          </cell>
          <cell r="Q68">
            <v>0</v>
          </cell>
          <cell r="R68">
            <v>0</v>
          </cell>
          <cell r="S68">
            <v>5706.8903530547232</v>
          </cell>
          <cell r="T68">
            <v>4979.3875935799788</v>
          </cell>
          <cell r="U68">
            <v>5192.1220132863837</v>
          </cell>
          <cell r="V68">
            <v>212.73441970640488</v>
          </cell>
          <cell r="W68">
            <v>4.2723008745229532</v>
          </cell>
          <cell r="X68">
            <v>0</v>
          </cell>
          <cell r="Y68">
            <v>0</v>
          </cell>
          <cell r="Z68">
            <v>0</v>
          </cell>
        </row>
        <row r="69">
          <cell r="C69">
            <v>2070</v>
          </cell>
          <cell r="D69" t="str">
            <v>Lowfield Community Primary School</v>
          </cell>
          <cell r="E69">
            <v>365</v>
          </cell>
          <cell r="F69">
            <v>379</v>
          </cell>
          <cell r="G69">
            <v>14</v>
          </cell>
          <cell r="H69">
            <v>1837580.0342440454</v>
          </cell>
          <cell r="I69">
            <v>24201.5</v>
          </cell>
          <cell r="J69">
            <v>128000</v>
          </cell>
          <cell r="K69">
            <v>-52600</v>
          </cell>
          <cell r="L69">
            <v>1737978.5342440454</v>
          </cell>
          <cell r="M69">
            <v>4761.5850253261515</v>
          </cell>
          <cell r="N69">
            <v>1848106.0917427114</v>
          </cell>
          <cell r="O69">
            <v>4876.2693713528006</v>
          </cell>
          <cell r="P69">
            <v>2.408532986739928E-2</v>
          </cell>
          <cell r="Q69">
            <v>0</v>
          </cell>
          <cell r="R69">
            <v>0</v>
          </cell>
          <cell r="S69">
            <v>5277.8577618541194</v>
          </cell>
          <cell r="T69">
            <v>4761.5850253261515</v>
          </cell>
          <cell r="U69">
            <v>4876.2693713528006</v>
          </cell>
          <cell r="V69">
            <v>114.68434602664911</v>
          </cell>
          <cell r="W69">
            <v>2.4085329867399281</v>
          </cell>
          <cell r="X69">
            <v>0</v>
          </cell>
          <cell r="Y69">
            <v>0</v>
          </cell>
          <cell r="Z69">
            <v>0</v>
          </cell>
        </row>
        <row r="70">
          <cell r="C70">
            <v>2292</v>
          </cell>
          <cell r="D70" t="str">
            <v>Loxley Primary School</v>
          </cell>
          <cell r="E70">
            <v>209</v>
          </cell>
          <cell r="F70">
            <v>210</v>
          </cell>
          <cell r="G70">
            <v>1</v>
          </cell>
          <cell r="H70">
            <v>897733.91829061171</v>
          </cell>
          <cell r="I70">
            <v>2892.7999999999997</v>
          </cell>
          <cell r="J70">
            <v>128000</v>
          </cell>
          <cell r="K70">
            <v>-25653</v>
          </cell>
          <cell r="L70">
            <v>792494.11829061166</v>
          </cell>
          <cell r="M70">
            <v>3791.8378865579507</v>
          </cell>
          <cell r="N70">
            <v>797050.00000000035</v>
          </cell>
          <cell r="O70">
            <v>3795.4761904761922</v>
          </cell>
          <cell r="P70">
            <v>9.5950935327147359E-4</v>
          </cell>
          <cell r="Q70">
            <v>4.0404906467285265E-3</v>
          </cell>
          <cell r="R70">
            <v>3217.3859580551352</v>
          </cell>
          <cell r="S70">
            <v>4434.0970759907414</v>
          </cell>
          <cell r="T70">
            <v>3791.8378865579507</v>
          </cell>
          <cell r="U70">
            <v>3810.7970759907403</v>
          </cell>
          <cell r="V70">
            <v>18.959189432789572</v>
          </cell>
          <cell r="W70">
            <v>0.49999999999999523</v>
          </cell>
          <cell r="X70">
            <v>0</v>
          </cell>
          <cell r="Y70">
            <v>0</v>
          </cell>
          <cell r="Z70">
            <v>0</v>
          </cell>
        </row>
        <row r="71">
          <cell r="C71">
            <v>2072</v>
          </cell>
          <cell r="D71" t="str">
            <v>Lydgate Infant School</v>
          </cell>
          <cell r="E71">
            <v>356</v>
          </cell>
          <cell r="F71">
            <v>344</v>
          </cell>
          <cell r="G71">
            <v>-12</v>
          </cell>
          <cell r="H71">
            <v>1553961.2938231491</v>
          </cell>
          <cell r="I71">
            <v>21082.75</v>
          </cell>
          <cell r="J71">
            <v>128000</v>
          </cell>
          <cell r="K71">
            <v>-40932</v>
          </cell>
          <cell r="L71">
            <v>1445810.5438231491</v>
          </cell>
          <cell r="M71">
            <v>4061.2655725369355</v>
          </cell>
          <cell r="N71">
            <v>1387320.0000000005</v>
          </cell>
          <cell r="O71">
            <v>4032.9069767441874</v>
          </cell>
          <cell r="P71">
            <v>-6.9826991823717065E-3</v>
          </cell>
          <cell r="Q71">
            <v>1.1982699182371707E-2</v>
          </cell>
          <cell r="R71">
            <v>16740.73373746885</v>
          </cell>
          <cell r="S71">
            <v>4514.9527143531132</v>
          </cell>
          <cell r="T71">
            <v>4061.2655725369355</v>
          </cell>
          <cell r="U71">
            <v>4081.5719003996205</v>
          </cell>
          <cell r="V71">
            <v>20.306327862685066</v>
          </cell>
          <cell r="W71">
            <v>0.50000000000000955</v>
          </cell>
          <cell r="X71">
            <v>0</v>
          </cell>
          <cell r="Y71">
            <v>0</v>
          </cell>
          <cell r="Z71">
            <v>0</v>
          </cell>
        </row>
        <row r="72">
          <cell r="C72">
            <v>2071</v>
          </cell>
          <cell r="D72" t="str">
            <v>Lydgate Junior School</v>
          </cell>
          <cell r="E72">
            <v>475</v>
          </cell>
          <cell r="F72">
            <v>479</v>
          </cell>
          <cell r="G72">
            <v>4</v>
          </cell>
          <cell r="H72">
            <v>2048954</v>
          </cell>
          <cell r="I72">
            <v>23078.75</v>
          </cell>
          <cell r="J72">
            <v>128000</v>
          </cell>
          <cell r="K72">
            <v>-54430</v>
          </cell>
          <cell r="L72">
            <v>1952305.25</v>
          </cell>
          <cell r="M72">
            <v>4110.1163157894734</v>
          </cell>
          <cell r="N72">
            <v>1981995</v>
          </cell>
          <cell r="O72">
            <v>4137.7766179540713</v>
          </cell>
          <cell r="P72">
            <v>6.7298100684736574E-3</v>
          </cell>
          <cell r="Q72">
            <v>0</v>
          </cell>
          <cell r="R72">
            <v>0</v>
          </cell>
          <cell r="S72">
            <v>4453.1816283924845</v>
          </cell>
          <cell r="T72">
            <v>4110.1163157894734</v>
          </cell>
          <cell r="U72">
            <v>4137.7766179540713</v>
          </cell>
          <cell r="V72">
            <v>27.660302164597852</v>
          </cell>
          <cell r="W72">
            <v>0.67298100684736573</v>
          </cell>
          <cell r="X72">
            <v>0</v>
          </cell>
          <cell r="Y72">
            <v>0</v>
          </cell>
          <cell r="Z72">
            <v>0</v>
          </cell>
        </row>
        <row r="73">
          <cell r="C73">
            <v>2358</v>
          </cell>
          <cell r="D73" t="str">
            <v>Malin Bridge Primary School</v>
          </cell>
          <cell r="E73">
            <v>522</v>
          </cell>
          <cell r="F73">
            <v>517</v>
          </cell>
          <cell r="G73">
            <v>-5</v>
          </cell>
          <cell r="H73">
            <v>2254517.9999999995</v>
          </cell>
          <cell r="I73">
            <v>5529.6</v>
          </cell>
          <cell r="J73">
            <v>128000</v>
          </cell>
          <cell r="K73">
            <v>-62984</v>
          </cell>
          <cell r="L73">
            <v>2183972.3999999994</v>
          </cell>
          <cell r="M73">
            <v>4183.8551724137924</v>
          </cell>
          <cell r="N73">
            <v>2149385</v>
          </cell>
          <cell r="O73">
            <v>4157.4177949709865</v>
          </cell>
          <cell r="P73">
            <v>-6.3189035837379051E-3</v>
          </cell>
          <cell r="Q73">
            <v>1.1318903583737905E-2</v>
          </cell>
          <cell r="R73">
            <v>24483.389758620295</v>
          </cell>
          <cell r="S73">
            <v>4463.0529782565209</v>
          </cell>
          <cell r="T73">
            <v>4183.8551724137924</v>
          </cell>
          <cell r="U73">
            <v>4204.7744482758617</v>
          </cell>
          <cell r="V73">
            <v>20.919275862069298</v>
          </cell>
          <cell r="W73">
            <v>0.5000000000000081</v>
          </cell>
          <cell r="X73">
            <v>0</v>
          </cell>
          <cell r="Y73">
            <v>0</v>
          </cell>
          <cell r="Z73">
            <v>0</v>
          </cell>
        </row>
        <row r="74">
          <cell r="C74">
            <v>2359</v>
          </cell>
          <cell r="D74" t="str">
            <v>Manor Lodge Community Primary and Nursery School</v>
          </cell>
          <cell r="E74">
            <v>319</v>
          </cell>
          <cell r="F74">
            <v>333</v>
          </cell>
          <cell r="G74">
            <v>14</v>
          </cell>
          <cell r="H74">
            <v>1624739.8170937686</v>
          </cell>
          <cell r="I74">
            <v>3558.3999999999996</v>
          </cell>
          <cell r="J74">
            <v>128000</v>
          </cell>
          <cell r="K74">
            <v>-49413</v>
          </cell>
          <cell r="L74">
            <v>1542594.4170937687</v>
          </cell>
          <cell r="M74">
            <v>4835.7191758425352</v>
          </cell>
          <cell r="N74">
            <v>1620167.8774208594</v>
          </cell>
          <cell r="O74">
            <v>4865.3690012638417</v>
          </cell>
          <cell r="P74">
            <v>6.1314200314662856E-3</v>
          </cell>
          <cell r="Q74">
            <v>0</v>
          </cell>
          <cell r="R74">
            <v>0</v>
          </cell>
          <cell r="S74">
            <v>5260.4380703329116</v>
          </cell>
          <cell r="T74">
            <v>4835.7191758425352</v>
          </cell>
          <cell r="U74">
            <v>4865.3690012638417</v>
          </cell>
          <cell r="V74">
            <v>29.649825421306559</v>
          </cell>
          <cell r="W74">
            <v>0.61314200314662859</v>
          </cell>
          <cell r="X74">
            <v>0</v>
          </cell>
          <cell r="Y74">
            <v>0</v>
          </cell>
          <cell r="Z74">
            <v>0</v>
          </cell>
        </row>
        <row r="75">
          <cell r="C75">
            <v>2012</v>
          </cell>
          <cell r="D75" t="str">
            <v>Mansel Primary</v>
          </cell>
          <cell r="E75">
            <v>385</v>
          </cell>
          <cell r="F75">
            <v>399</v>
          </cell>
          <cell r="G75">
            <v>14</v>
          </cell>
          <cell r="H75">
            <v>1927026.4999804159</v>
          </cell>
          <cell r="I75">
            <v>4608</v>
          </cell>
          <cell r="J75">
            <v>128000</v>
          </cell>
          <cell r="K75">
            <v>-59810</v>
          </cell>
          <cell r="L75">
            <v>1854228.4999804159</v>
          </cell>
          <cell r="M75">
            <v>4816.1779220270546</v>
          </cell>
          <cell r="N75">
            <v>1960682.994657683</v>
          </cell>
          <cell r="O75">
            <v>4913.9924678137413</v>
          </cell>
          <cell r="P75">
            <v>2.030957895872711E-2</v>
          </cell>
          <cell r="Q75">
            <v>0</v>
          </cell>
          <cell r="R75">
            <v>0</v>
          </cell>
          <cell r="S75">
            <v>5246.3433450067241</v>
          </cell>
          <cell r="T75">
            <v>4816.1779220270546</v>
          </cell>
          <cell r="U75">
            <v>4913.9924678137413</v>
          </cell>
          <cell r="V75">
            <v>97.814545786686722</v>
          </cell>
          <cell r="W75">
            <v>2.030957895872711</v>
          </cell>
          <cell r="X75">
            <v>0</v>
          </cell>
          <cell r="Y75">
            <v>0</v>
          </cell>
          <cell r="Z75">
            <v>0</v>
          </cell>
        </row>
        <row r="76">
          <cell r="C76">
            <v>2079</v>
          </cell>
          <cell r="D76" t="str">
            <v>Marlcliffe Community Primary School</v>
          </cell>
          <cell r="E76">
            <v>509</v>
          </cell>
          <cell r="F76">
            <v>501</v>
          </cell>
          <cell r="G76">
            <v>-8</v>
          </cell>
          <cell r="H76">
            <v>2199595</v>
          </cell>
          <cell r="I76">
            <v>28160</v>
          </cell>
          <cell r="J76">
            <v>128000</v>
          </cell>
          <cell r="K76">
            <v>-59598</v>
          </cell>
          <cell r="L76">
            <v>2103033</v>
          </cell>
          <cell r="M76">
            <v>4131.6954813359525</v>
          </cell>
          <cell r="N76">
            <v>2078905</v>
          </cell>
          <cell r="O76">
            <v>4149.5109780439125</v>
          </cell>
          <cell r="P76">
            <v>4.3119094300239739E-3</v>
          </cell>
          <cell r="Q76">
            <v>6.8809056997602615E-4</v>
          </cell>
          <cell r="R76">
            <v>1424.3333300586335</v>
          </cell>
          <cell r="S76">
            <v>4464.050565529059</v>
          </cell>
          <cell r="T76">
            <v>4131.6954813359525</v>
          </cell>
          <cell r="U76">
            <v>4152.3539587426321</v>
          </cell>
          <cell r="V76">
            <v>20.658477406679594</v>
          </cell>
          <cell r="W76">
            <v>0.49999999999999595</v>
          </cell>
          <cell r="X76">
            <v>0</v>
          </cell>
          <cell r="Y76">
            <v>0</v>
          </cell>
          <cell r="Z76">
            <v>0</v>
          </cell>
        </row>
        <row r="77">
          <cell r="C77">
            <v>2081</v>
          </cell>
          <cell r="D77" t="str">
            <v>Meersbrook Bank Primary School</v>
          </cell>
          <cell r="E77">
            <v>200</v>
          </cell>
          <cell r="F77">
            <v>207</v>
          </cell>
          <cell r="G77">
            <v>7</v>
          </cell>
          <cell r="H77">
            <v>902129.56263524375</v>
          </cell>
          <cell r="I77">
            <v>14221.5</v>
          </cell>
          <cell r="J77">
            <v>128000</v>
          </cell>
          <cell r="K77">
            <v>-25120</v>
          </cell>
          <cell r="L77">
            <v>785028.06263524375</v>
          </cell>
          <cell r="M77">
            <v>3925.1403131762186</v>
          </cell>
          <cell r="N77">
            <v>795654.52535761613</v>
          </cell>
          <cell r="O77">
            <v>3843.7416683942806</v>
          </cell>
          <cell r="P77">
            <v>-2.0737766878980757E-2</v>
          </cell>
          <cell r="Q77">
            <v>2.5737766878980758E-2</v>
          </cell>
          <cell r="R77">
            <v>20912.03969399854</v>
          </cell>
          <cell r="S77">
            <v>4631.828816674466</v>
          </cell>
          <cell r="T77">
            <v>3925.1403131762186</v>
          </cell>
          <cell r="U77">
            <v>3944.7660147420997</v>
          </cell>
          <cell r="V77">
            <v>19.625701565881172</v>
          </cell>
          <cell r="W77">
            <v>0.500000000000002</v>
          </cell>
          <cell r="X77">
            <v>0</v>
          </cell>
          <cell r="Y77">
            <v>0</v>
          </cell>
          <cell r="Z77">
            <v>0</v>
          </cell>
        </row>
        <row r="78">
          <cell r="C78">
            <v>2013</v>
          </cell>
          <cell r="D78" t="str">
            <v>Meynell Community Primary School</v>
          </cell>
          <cell r="E78">
            <v>361</v>
          </cell>
          <cell r="F78">
            <v>368</v>
          </cell>
          <cell r="G78">
            <v>7</v>
          </cell>
          <cell r="H78">
            <v>1913975.4892088959</v>
          </cell>
          <cell r="I78">
            <v>6144</v>
          </cell>
          <cell r="J78">
            <v>128000</v>
          </cell>
          <cell r="K78">
            <v>-60797</v>
          </cell>
          <cell r="L78">
            <v>1840628.4892088959</v>
          </cell>
          <cell r="M78">
            <v>5098.6938759249197</v>
          </cell>
          <cell r="N78">
            <v>1928113.4323296626</v>
          </cell>
          <cell r="O78">
            <v>5239.4386748088655</v>
          </cell>
          <cell r="P78">
            <v>2.7604088872351499E-2</v>
          </cell>
          <cell r="Q78">
            <v>0</v>
          </cell>
          <cell r="R78">
            <v>0</v>
          </cell>
          <cell r="S78">
            <v>5603.9604139393005</v>
          </cell>
          <cell r="T78">
            <v>5098.6938759249197</v>
          </cell>
          <cell r="U78">
            <v>5239.4386748088655</v>
          </cell>
          <cell r="V78">
            <v>140.7447988839458</v>
          </cell>
          <cell r="W78">
            <v>2.7604088872351498</v>
          </cell>
          <cell r="X78">
            <v>0</v>
          </cell>
          <cell r="Y78">
            <v>0</v>
          </cell>
          <cell r="Z78">
            <v>0</v>
          </cell>
        </row>
        <row r="79">
          <cell r="C79">
            <v>2346</v>
          </cell>
          <cell r="D79" t="str">
            <v>Monteney Primary School</v>
          </cell>
          <cell r="E79">
            <v>400</v>
          </cell>
          <cell r="F79">
            <v>404</v>
          </cell>
          <cell r="G79">
            <v>4</v>
          </cell>
          <cell r="H79">
            <v>1831068.0337442576</v>
          </cell>
          <cell r="I79">
            <v>5785.5999999999995</v>
          </cell>
          <cell r="J79">
            <v>128000</v>
          </cell>
          <cell r="K79">
            <v>-53785</v>
          </cell>
          <cell r="L79">
            <v>1751067.4337442575</v>
          </cell>
          <cell r="M79">
            <v>4377.6685843606438</v>
          </cell>
          <cell r="N79">
            <v>1783355.846042393</v>
          </cell>
          <cell r="O79">
            <v>4414.2471436692895</v>
          </cell>
          <cell r="P79">
            <v>8.3557168853128222E-3</v>
          </cell>
          <cell r="Q79">
            <v>0</v>
          </cell>
          <cell r="R79">
            <v>0</v>
          </cell>
          <cell r="S79">
            <v>4745.4006090158246</v>
          </cell>
          <cell r="T79">
            <v>4377.6685843606438</v>
          </cell>
          <cell r="U79">
            <v>4414.2471436692895</v>
          </cell>
          <cell r="V79">
            <v>36.578559308645708</v>
          </cell>
          <cell r="W79">
            <v>0.83557168853128228</v>
          </cell>
          <cell r="X79">
            <v>0</v>
          </cell>
          <cell r="Y79">
            <v>0</v>
          </cell>
          <cell r="Z79">
            <v>0</v>
          </cell>
        </row>
        <row r="80">
          <cell r="C80">
            <v>2257</v>
          </cell>
          <cell r="D80" t="str">
            <v>Mosborough Primary School</v>
          </cell>
          <cell r="E80">
            <v>410</v>
          </cell>
          <cell r="F80">
            <v>418</v>
          </cell>
          <cell r="G80">
            <v>8</v>
          </cell>
          <cell r="H80">
            <v>1948391.8273404466</v>
          </cell>
          <cell r="I80">
            <v>199011.82734044717</v>
          </cell>
          <cell r="J80">
            <v>128000</v>
          </cell>
          <cell r="K80">
            <v>-48720</v>
          </cell>
          <cell r="L80">
            <v>1670099.9999999995</v>
          </cell>
          <cell r="M80">
            <v>4073.4146341463402</v>
          </cell>
          <cell r="N80">
            <v>1713290</v>
          </cell>
          <cell r="O80">
            <v>4098.7799043062205</v>
          </cell>
          <cell r="P80">
            <v>6.2270287800436685E-3</v>
          </cell>
          <cell r="Q80">
            <v>0</v>
          </cell>
          <cell r="R80">
            <v>0</v>
          </cell>
          <cell r="S80">
            <v>4998.188598136916</v>
          </cell>
          <cell r="T80">
            <v>4073.4146341463402</v>
          </cell>
          <cell r="U80">
            <v>4098.7799043062205</v>
          </cell>
          <cell r="V80">
            <v>25.365270159880311</v>
          </cell>
          <cell r="W80">
            <v>0.62270287800436686</v>
          </cell>
          <cell r="X80">
            <v>0</v>
          </cell>
          <cell r="Y80">
            <v>0</v>
          </cell>
          <cell r="Z80">
            <v>0</v>
          </cell>
        </row>
        <row r="81">
          <cell r="C81">
            <v>2092</v>
          </cell>
          <cell r="D81" t="str">
            <v>Mundella Primary School</v>
          </cell>
          <cell r="E81">
            <v>420</v>
          </cell>
          <cell r="F81">
            <v>416</v>
          </cell>
          <cell r="G81">
            <v>-4</v>
          </cell>
          <cell r="H81">
            <v>1819748.9999999998</v>
          </cell>
          <cell r="I81">
            <v>27904</v>
          </cell>
          <cell r="J81">
            <v>128000</v>
          </cell>
          <cell r="K81">
            <v>-49605</v>
          </cell>
          <cell r="L81">
            <v>1713449.9999999998</v>
          </cell>
          <cell r="M81">
            <v>4079.6428571428564</v>
          </cell>
          <cell r="N81">
            <v>1704480.0000000005</v>
          </cell>
          <cell r="O81">
            <v>4097.3076923076933</v>
          </cell>
          <cell r="P81">
            <v>4.3299954881855212E-3</v>
          </cell>
          <cell r="Q81">
            <v>6.700045118144789E-4</v>
          </cell>
          <cell r="R81">
            <v>1137.0857142850091</v>
          </cell>
          <cell r="S81">
            <v>4474.810302197804</v>
          </cell>
          <cell r="T81">
            <v>4079.6428571428564</v>
          </cell>
          <cell r="U81">
            <v>4100.0410714285708</v>
          </cell>
          <cell r="V81">
            <v>20.398214285714403</v>
          </cell>
          <cell r="W81">
            <v>0.500000000000003</v>
          </cell>
          <cell r="X81">
            <v>0</v>
          </cell>
          <cell r="Y81">
            <v>0</v>
          </cell>
          <cell r="Z81">
            <v>0</v>
          </cell>
        </row>
        <row r="82">
          <cell r="C82">
            <v>2002</v>
          </cell>
          <cell r="D82" t="str">
            <v>Nether Edge Primary School</v>
          </cell>
          <cell r="E82">
            <v>404</v>
          </cell>
          <cell r="F82">
            <v>419</v>
          </cell>
          <cell r="G82">
            <v>15</v>
          </cell>
          <cell r="H82">
            <v>1852889.9775612394</v>
          </cell>
          <cell r="I82">
            <v>3942.4</v>
          </cell>
          <cell r="J82">
            <v>128000</v>
          </cell>
          <cell r="K82">
            <v>-52218</v>
          </cell>
          <cell r="L82">
            <v>1773165.5775612395</v>
          </cell>
          <cell r="M82">
            <v>4389.0237068347515</v>
          </cell>
          <cell r="N82">
            <v>1820858.8750633167</v>
          </cell>
          <cell r="O82">
            <v>4345.725238814598</v>
          </cell>
          <cell r="P82">
            <v>-9.8651706876696655E-3</v>
          </cell>
          <cell r="Q82">
            <v>1.4865170687669665E-2</v>
          </cell>
          <cell r="R82">
            <v>27337.062766263101</v>
          </cell>
          <cell r="S82">
            <v>4725.8662000705945</v>
          </cell>
          <cell r="T82">
            <v>4389.0237068347515</v>
          </cell>
          <cell r="U82">
            <v>4410.9688253689255</v>
          </cell>
          <cell r="V82">
            <v>21.945118534174071</v>
          </cell>
          <cell r="W82">
            <v>0.50000000000000711</v>
          </cell>
          <cell r="X82">
            <v>0</v>
          </cell>
          <cell r="Y82">
            <v>0</v>
          </cell>
          <cell r="Z82">
            <v>0</v>
          </cell>
        </row>
        <row r="83">
          <cell r="C83">
            <v>2221</v>
          </cell>
          <cell r="D83" t="str">
            <v>Nether Green Infant School</v>
          </cell>
          <cell r="E83">
            <v>211</v>
          </cell>
          <cell r="F83">
            <v>223</v>
          </cell>
          <cell r="G83">
            <v>12</v>
          </cell>
          <cell r="H83">
            <v>957664.25136760541</v>
          </cell>
          <cell r="I83">
            <v>14595.75</v>
          </cell>
          <cell r="J83">
            <v>128000</v>
          </cell>
          <cell r="K83">
            <v>-25337</v>
          </cell>
          <cell r="L83">
            <v>840405.50136760541</v>
          </cell>
          <cell r="M83">
            <v>3982.9644614578456</v>
          </cell>
          <cell r="N83">
            <v>877380.3507666532</v>
          </cell>
          <cell r="O83">
            <v>3934.4410348280412</v>
          </cell>
          <cell r="P83">
            <v>-1.2182741548249668E-2</v>
          </cell>
          <cell r="Q83">
            <v>1.7182741548249669E-2</v>
          </cell>
          <cell r="R83">
            <v>15261.729512971871</v>
          </cell>
          <cell r="S83">
            <v>4642.3232299534757</v>
          </cell>
          <cell r="T83">
            <v>3982.9644614578456</v>
          </cell>
          <cell r="U83">
            <v>4002.8792837651345</v>
          </cell>
          <cell r="V83">
            <v>19.914822307288887</v>
          </cell>
          <cell r="W83">
            <v>0.49999999999999145</v>
          </cell>
          <cell r="X83">
            <v>0</v>
          </cell>
          <cell r="Y83">
            <v>0</v>
          </cell>
          <cell r="Z83">
            <v>0</v>
          </cell>
        </row>
        <row r="84">
          <cell r="C84">
            <v>2087</v>
          </cell>
          <cell r="D84" t="str">
            <v>Nether Green Junior School</v>
          </cell>
          <cell r="E84">
            <v>359</v>
          </cell>
          <cell r="F84">
            <v>377</v>
          </cell>
          <cell r="G84">
            <v>18</v>
          </cell>
          <cell r="H84">
            <v>1554251.9175000007</v>
          </cell>
          <cell r="I84">
            <v>21082.75</v>
          </cell>
          <cell r="J84">
            <v>128000</v>
          </cell>
          <cell r="K84">
            <v>-41733</v>
          </cell>
          <cell r="L84">
            <v>1446902.1675000007</v>
          </cell>
          <cell r="M84">
            <v>4030.3681545961022</v>
          </cell>
          <cell r="N84">
            <v>1532685.0000000002</v>
          </cell>
          <cell r="O84">
            <v>4065.4774535809024</v>
          </cell>
          <cell r="P84">
            <v>8.7111890621611697E-3</v>
          </cell>
          <cell r="Q84">
            <v>0</v>
          </cell>
          <cell r="R84">
            <v>0</v>
          </cell>
          <cell r="S84">
            <v>4460.9230769230771</v>
          </cell>
          <cell r="T84">
            <v>4030.3681545961022</v>
          </cell>
          <cell r="U84">
            <v>4065.4774535809024</v>
          </cell>
          <cell r="V84">
            <v>35.109298984800262</v>
          </cell>
          <cell r="W84">
            <v>0.87111890621611698</v>
          </cell>
          <cell r="X84">
            <v>0</v>
          </cell>
          <cell r="Y84">
            <v>0</v>
          </cell>
          <cell r="Z84">
            <v>0</v>
          </cell>
        </row>
        <row r="85">
          <cell r="C85">
            <v>2272</v>
          </cell>
          <cell r="D85" t="str">
            <v>Netherthorpe Primary School</v>
          </cell>
          <cell r="E85">
            <v>206</v>
          </cell>
          <cell r="F85">
            <v>217</v>
          </cell>
          <cell r="G85">
            <v>11</v>
          </cell>
          <cell r="H85">
            <v>1178315.8964416012</v>
          </cell>
          <cell r="I85">
            <v>19461</v>
          </cell>
          <cell r="J85">
            <v>128000</v>
          </cell>
          <cell r="K85">
            <v>-32502</v>
          </cell>
          <cell r="L85">
            <v>1063356.8964416012</v>
          </cell>
          <cell r="M85">
            <v>5161.9266817553453</v>
          </cell>
          <cell r="N85">
            <v>1141907.8522279668</v>
          </cell>
          <cell r="O85">
            <v>5262.2481669491553</v>
          </cell>
          <cell r="P85">
            <v>1.9434891539314762E-2</v>
          </cell>
          <cell r="Q85">
            <v>0</v>
          </cell>
          <cell r="R85">
            <v>0</v>
          </cell>
          <cell r="S85">
            <v>5941.7919457509988</v>
          </cell>
          <cell r="T85">
            <v>5161.9266817553453</v>
          </cell>
          <cell r="U85">
            <v>5262.2481669491553</v>
          </cell>
          <cell r="V85">
            <v>100.32148519381008</v>
          </cell>
          <cell r="W85">
            <v>1.9434891539314763</v>
          </cell>
          <cell r="X85">
            <v>0</v>
          </cell>
          <cell r="Y85">
            <v>0</v>
          </cell>
          <cell r="Z85">
            <v>0</v>
          </cell>
        </row>
        <row r="86">
          <cell r="C86">
            <v>2309</v>
          </cell>
          <cell r="D86" t="str">
            <v>Nook Lane Junior School</v>
          </cell>
          <cell r="E86">
            <v>252</v>
          </cell>
          <cell r="F86">
            <v>243</v>
          </cell>
          <cell r="G86">
            <v>-9</v>
          </cell>
          <cell r="H86">
            <v>1108400.2699251617</v>
          </cell>
          <cell r="I86">
            <v>4019.2000000000003</v>
          </cell>
          <cell r="J86">
            <v>128000</v>
          </cell>
          <cell r="K86">
            <v>-30079</v>
          </cell>
          <cell r="L86">
            <v>1006460.0699251618</v>
          </cell>
          <cell r="M86">
            <v>3993.8891663696895</v>
          </cell>
          <cell r="N86">
            <v>942415</v>
          </cell>
          <cell r="O86">
            <v>3878.2510288065841</v>
          </cell>
          <cell r="P86">
            <v>-2.8953767304518502E-2</v>
          </cell>
          <cell r="Q86">
            <v>3.3953767304518503E-2</v>
          </cell>
          <cell r="R86">
            <v>32952.642764973782</v>
          </cell>
          <cell r="S86">
            <v>4557.1466780451592</v>
          </cell>
          <cell r="T86">
            <v>3993.8891663696895</v>
          </cell>
          <cell r="U86">
            <v>4013.8586122015381</v>
          </cell>
          <cell r="V86">
            <v>19.969445831848589</v>
          </cell>
          <cell r="W86">
            <v>0.50000000000000355</v>
          </cell>
          <cell r="X86">
            <v>0</v>
          </cell>
          <cell r="Y86">
            <v>0</v>
          </cell>
          <cell r="Z86">
            <v>0</v>
          </cell>
        </row>
        <row r="87">
          <cell r="C87">
            <v>2051</v>
          </cell>
          <cell r="D87" t="str">
            <v>Norfolk Community Primary School</v>
          </cell>
          <cell r="E87">
            <v>388</v>
          </cell>
          <cell r="F87">
            <v>384</v>
          </cell>
          <cell r="G87">
            <v>-4</v>
          </cell>
          <cell r="H87">
            <v>2035747.9561566554</v>
          </cell>
          <cell r="I87">
            <v>10956.800000000001</v>
          </cell>
          <cell r="J87">
            <v>128000</v>
          </cell>
          <cell r="K87">
            <v>-61036</v>
          </cell>
          <cell r="L87">
            <v>1957827.1561566554</v>
          </cell>
          <cell r="M87">
            <v>5045.9462787542661</v>
          </cell>
          <cell r="N87">
            <v>2001529.8878085297</v>
          </cell>
          <cell r="O87">
            <v>5212.3174161680463</v>
          </cell>
          <cell r="P87">
            <v>3.2971246268371598E-2</v>
          </cell>
          <cell r="Q87">
            <v>0</v>
          </cell>
          <cell r="R87">
            <v>0</v>
          </cell>
          <cell r="S87">
            <v>5574.1846036680463</v>
          </cell>
          <cell r="T87">
            <v>5045.9462787542661</v>
          </cell>
          <cell r="U87">
            <v>5212.3174161680463</v>
          </cell>
          <cell r="V87">
            <v>166.37113741378016</v>
          </cell>
          <cell r="W87">
            <v>3.2971246268371597</v>
          </cell>
          <cell r="X87">
            <v>0</v>
          </cell>
          <cell r="Y87">
            <v>0</v>
          </cell>
          <cell r="Z87">
            <v>0</v>
          </cell>
        </row>
        <row r="88">
          <cell r="C88">
            <v>3010</v>
          </cell>
          <cell r="D88" t="str">
            <v>Norton Free Church of England Primary School</v>
          </cell>
          <cell r="E88">
            <v>209</v>
          </cell>
          <cell r="F88">
            <v>213</v>
          </cell>
          <cell r="G88">
            <v>4</v>
          </cell>
          <cell r="H88">
            <v>944404.95450062025</v>
          </cell>
          <cell r="I88">
            <v>4582.3999999999996</v>
          </cell>
          <cell r="J88">
            <v>128000</v>
          </cell>
          <cell r="K88">
            <v>-26248</v>
          </cell>
          <cell r="L88">
            <v>838070.55450062023</v>
          </cell>
          <cell r="M88">
            <v>4009.906959333111</v>
          </cell>
          <cell r="N88">
            <v>830570.44740420429</v>
          </cell>
          <cell r="O88">
            <v>3899.3917718507241</v>
          </cell>
          <cell r="P88">
            <v>-2.7560536591793312E-2</v>
          </cell>
          <cell r="Q88">
            <v>3.256053659179331E-2</v>
          </cell>
          <cell r="R88">
            <v>27810.28584543816</v>
          </cell>
          <cell r="S88">
            <v>4652.4071983551285</v>
          </cell>
          <cell r="T88">
            <v>4009.906959333111</v>
          </cell>
          <cell r="U88">
            <v>4029.9564941297767</v>
          </cell>
          <cell r="V88">
            <v>20.049534796665739</v>
          </cell>
          <cell r="W88">
            <v>0.50000000000000466</v>
          </cell>
          <cell r="X88">
            <v>0</v>
          </cell>
          <cell r="Y88">
            <v>0</v>
          </cell>
          <cell r="Z88">
            <v>0</v>
          </cell>
        </row>
        <row r="89">
          <cell r="C89">
            <v>2018</v>
          </cell>
          <cell r="D89" t="str">
            <v>Oasis Academy Fir Vale</v>
          </cell>
          <cell r="E89">
            <v>401</v>
          </cell>
          <cell r="F89">
            <v>407</v>
          </cell>
          <cell r="G89">
            <v>6</v>
          </cell>
          <cell r="H89">
            <v>2432219.0595467887</v>
          </cell>
          <cell r="I89">
            <v>7372.7999999999993</v>
          </cell>
          <cell r="J89">
            <v>128000</v>
          </cell>
          <cell r="K89">
            <v>-67822</v>
          </cell>
          <cell r="L89">
            <v>2364668.2595467889</v>
          </cell>
          <cell r="M89">
            <v>5896.9283280468553</v>
          </cell>
          <cell r="N89">
            <v>2463081.5743972347</v>
          </cell>
          <cell r="O89">
            <v>6051.7974800914853</v>
          </cell>
          <cell r="P89">
            <v>2.6262681760611604E-2</v>
          </cell>
          <cell r="Q89">
            <v>0</v>
          </cell>
          <cell r="R89">
            <v>0</v>
          </cell>
          <cell r="S89">
            <v>6384.4092737032797</v>
          </cell>
          <cell r="T89">
            <v>5896.9283280468553</v>
          </cell>
          <cell r="U89">
            <v>6051.7974800914853</v>
          </cell>
          <cell r="V89">
            <v>154.86915204463003</v>
          </cell>
          <cell r="W89">
            <v>2.6262681760611604</v>
          </cell>
          <cell r="X89">
            <v>0</v>
          </cell>
          <cell r="Y89">
            <v>0</v>
          </cell>
          <cell r="Z89">
            <v>0</v>
          </cell>
        </row>
        <row r="90">
          <cell r="C90">
            <v>2019</v>
          </cell>
          <cell r="D90" t="str">
            <v>Oasis Academy Watermead</v>
          </cell>
          <cell r="E90">
            <v>377</v>
          </cell>
          <cell r="F90">
            <v>380</v>
          </cell>
          <cell r="G90">
            <v>3</v>
          </cell>
          <cell r="H90">
            <v>1981985.960881233</v>
          </cell>
          <cell r="I90">
            <v>10547.2</v>
          </cell>
          <cell r="J90">
            <v>128000</v>
          </cell>
          <cell r="K90">
            <v>-58779</v>
          </cell>
          <cell r="L90">
            <v>1902217.760881233</v>
          </cell>
          <cell r="M90">
            <v>5045.6704532658705</v>
          </cell>
          <cell r="N90">
            <v>1856711.9818722988</v>
          </cell>
          <cell r="O90">
            <v>4886.0841628218386</v>
          </cell>
          <cell r="P90">
            <v>-3.1628361765231365E-2</v>
          </cell>
          <cell r="Q90">
            <v>3.6628361765231363E-2</v>
          </cell>
          <cell r="R90">
            <v>70229.564229937256</v>
          </cell>
          <cell r="S90">
            <v>5435.4961739532528</v>
          </cell>
          <cell r="T90">
            <v>5045.6704532658705</v>
          </cell>
          <cell r="U90">
            <v>5070.8988055321997</v>
          </cell>
          <cell r="V90">
            <v>25.228352266329239</v>
          </cell>
          <cell r="W90">
            <v>0.49999999999999778</v>
          </cell>
          <cell r="X90">
            <v>0</v>
          </cell>
          <cell r="Y90">
            <v>0</v>
          </cell>
          <cell r="Z90">
            <v>0</v>
          </cell>
        </row>
        <row r="91">
          <cell r="C91">
            <v>2313</v>
          </cell>
          <cell r="D91" t="str">
            <v>Oughtibridge Primary School</v>
          </cell>
          <cell r="E91">
            <v>416</v>
          </cell>
          <cell r="F91">
            <v>417</v>
          </cell>
          <cell r="G91">
            <v>1</v>
          </cell>
          <cell r="H91">
            <v>1780896.0000000002</v>
          </cell>
          <cell r="I91">
            <v>6656</v>
          </cell>
          <cell r="J91">
            <v>128000</v>
          </cell>
          <cell r="K91">
            <v>-47177</v>
          </cell>
          <cell r="L91">
            <v>1693417.0000000002</v>
          </cell>
          <cell r="M91">
            <v>4070.7139423076928</v>
          </cell>
          <cell r="N91">
            <v>1708885.0000000005</v>
          </cell>
          <cell r="O91">
            <v>4098.0455635491617</v>
          </cell>
          <cell r="P91">
            <v>6.7142082761960193E-3</v>
          </cell>
          <cell r="Q91">
            <v>0</v>
          </cell>
          <cell r="R91">
            <v>0</v>
          </cell>
          <cell r="S91">
            <v>4420.9616306954449</v>
          </cell>
          <cell r="T91">
            <v>4070.7139423076928</v>
          </cell>
          <cell r="U91">
            <v>4098.0455635491617</v>
          </cell>
          <cell r="V91">
            <v>27.331621241468838</v>
          </cell>
          <cell r="W91">
            <v>0.67142082761960198</v>
          </cell>
          <cell r="X91">
            <v>0</v>
          </cell>
          <cell r="Y91">
            <v>0</v>
          </cell>
          <cell r="Z91">
            <v>0</v>
          </cell>
        </row>
        <row r="92">
          <cell r="C92">
            <v>2093</v>
          </cell>
          <cell r="D92" t="str">
            <v>Owler Brook Primary School</v>
          </cell>
          <cell r="E92">
            <v>384</v>
          </cell>
          <cell r="F92">
            <v>400</v>
          </cell>
          <cell r="G92">
            <v>16</v>
          </cell>
          <cell r="H92">
            <v>2234787.2832598905</v>
          </cell>
          <cell r="I92">
            <v>161728.15048471148</v>
          </cell>
          <cell r="J92">
            <v>128000</v>
          </cell>
          <cell r="K92">
            <v>-59968</v>
          </cell>
          <cell r="L92">
            <v>2005027.1327751791</v>
          </cell>
          <cell r="M92">
            <v>5221.4248249353623</v>
          </cell>
          <cell r="N92">
            <v>2171317.4945318568</v>
          </cell>
          <cell r="O92">
            <v>5428.2937363296423</v>
          </cell>
          <cell r="P92">
            <v>3.9619245384202383E-2</v>
          </cell>
          <cell r="Q92">
            <v>0</v>
          </cell>
          <cell r="R92">
            <v>0</v>
          </cell>
          <cell r="S92">
            <v>6277.9210665239743</v>
          </cell>
          <cell r="T92">
            <v>5221.4248249353623</v>
          </cell>
          <cell r="U92">
            <v>5428.2937363296423</v>
          </cell>
          <cell r="V92">
            <v>206.86891139428008</v>
          </cell>
          <cell r="W92">
            <v>3.9619245384202384</v>
          </cell>
          <cell r="X92">
            <v>0</v>
          </cell>
          <cell r="Y92">
            <v>0</v>
          </cell>
          <cell r="Z92">
            <v>0</v>
          </cell>
        </row>
        <row r="93">
          <cell r="C93">
            <v>3428</v>
          </cell>
          <cell r="D93" t="str">
            <v>Parson Cross Church of England Primary School</v>
          </cell>
          <cell r="E93">
            <v>201</v>
          </cell>
          <cell r="F93">
            <v>203</v>
          </cell>
          <cell r="G93">
            <v>2</v>
          </cell>
          <cell r="H93">
            <v>970921.50537315826</v>
          </cell>
          <cell r="I93">
            <v>4096</v>
          </cell>
          <cell r="J93">
            <v>128000</v>
          </cell>
          <cell r="K93">
            <v>-28192</v>
          </cell>
          <cell r="L93">
            <v>867017.50537315826</v>
          </cell>
          <cell r="M93">
            <v>4313.5199272296431</v>
          </cell>
          <cell r="N93">
            <v>889544.14851157542</v>
          </cell>
          <cell r="O93">
            <v>4381.9908793673667</v>
          </cell>
          <cell r="P93">
            <v>1.5873568058766101E-2</v>
          </cell>
          <cell r="Q93">
            <v>0</v>
          </cell>
          <cell r="R93">
            <v>0</v>
          </cell>
          <cell r="S93">
            <v>5032.710091190027</v>
          </cell>
          <cell r="T93">
            <v>4313.5199272296431</v>
          </cell>
          <cell r="U93">
            <v>4381.9908793673667</v>
          </cell>
          <cell r="V93">
            <v>68.470952137723543</v>
          </cell>
          <cell r="W93">
            <v>1.5873568058766101</v>
          </cell>
          <cell r="X93">
            <v>0</v>
          </cell>
          <cell r="Y93">
            <v>0</v>
          </cell>
          <cell r="Z93">
            <v>0</v>
          </cell>
        </row>
        <row r="94">
          <cell r="C94">
            <v>2332</v>
          </cell>
          <cell r="D94" t="str">
            <v>Phillimore Community Primary School</v>
          </cell>
          <cell r="E94">
            <v>413</v>
          </cell>
          <cell r="F94">
            <v>388</v>
          </cell>
          <cell r="G94">
            <v>-25</v>
          </cell>
          <cell r="H94">
            <v>2201918.9406852825</v>
          </cell>
          <cell r="I94">
            <v>4889.5999999999995</v>
          </cell>
          <cell r="J94">
            <v>128000</v>
          </cell>
          <cell r="K94">
            <v>-65161</v>
          </cell>
          <cell r="L94">
            <v>2134190.3406852824</v>
          </cell>
          <cell r="M94">
            <v>5167.5310912476571</v>
          </cell>
          <cell r="N94">
            <v>2034540.8810654846</v>
          </cell>
          <cell r="O94">
            <v>5243.6620646017645</v>
          </cell>
          <cell r="P94">
            <v>1.4732562225518473E-2</v>
          </cell>
          <cell r="Q94">
            <v>0</v>
          </cell>
          <cell r="R94">
            <v>0</v>
          </cell>
          <cell r="S94">
            <v>5586.1620646017645</v>
          </cell>
          <cell r="T94">
            <v>5167.5310912476571</v>
          </cell>
          <cell r="U94">
            <v>5243.6620646017645</v>
          </cell>
          <cell r="V94">
            <v>76.130973354107482</v>
          </cell>
          <cell r="W94">
            <v>1.4732562225518473</v>
          </cell>
          <cell r="X94">
            <v>0</v>
          </cell>
          <cell r="Y94">
            <v>0</v>
          </cell>
          <cell r="Z94">
            <v>0</v>
          </cell>
        </row>
        <row r="95">
          <cell r="C95">
            <v>3433</v>
          </cell>
          <cell r="D95" t="str">
            <v>Pipworth Community Primary School</v>
          </cell>
          <cell r="E95">
            <v>410</v>
          </cell>
          <cell r="F95">
            <v>394</v>
          </cell>
          <cell r="G95">
            <v>-16</v>
          </cell>
          <cell r="H95">
            <v>2163599.4122901116</v>
          </cell>
          <cell r="I95">
            <v>30464</v>
          </cell>
          <cell r="J95">
            <v>128000</v>
          </cell>
          <cell r="K95">
            <v>-65380</v>
          </cell>
          <cell r="L95">
            <v>2070515.4122901116</v>
          </cell>
          <cell r="M95">
            <v>5050.0375909514914</v>
          </cell>
          <cell r="N95">
            <v>2041937.9701188668</v>
          </cell>
          <cell r="O95">
            <v>5182.5836805047384</v>
          </cell>
          <cell r="P95">
            <v>2.6246555033716801E-2</v>
          </cell>
          <cell r="Q95">
            <v>0</v>
          </cell>
          <cell r="R95">
            <v>0</v>
          </cell>
          <cell r="S95">
            <v>5577.629365783926</v>
          </cell>
          <cell r="T95">
            <v>5050.0375909514914</v>
          </cell>
          <cell r="U95">
            <v>5182.5836805047384</v>
          </cell>
          <cell r="V95">
            <v>132.54608955324693</v>
          </cell>
          <cell r="W95">
            <v>2.6246555033716801</v>
          </cell>
          <cell r="X95">
            <v>0</v>
          </cell>
          <cell r="Y95">
            <v>0</v>
          </cell>
          <cell r="Z95">
            <v>0</v>
          </cell>
        </row>
        <row r="96">
          <cell r="C96">
            <v>3427</v>
          </cell>
          <cell r="D96" t="str">
            <v>Porter Croft Church of England Primary Academy</v>
          </cell>
          <cell r="E96">
            <v>213</v>
          </cell>
          <cell r="F96">
            <v>214</v>
          </cell>
          <cell r="G96">
            <v>1</v>
          </cell>
          <cell r="H96">
            <v>1097116.4131864018</v>
          </cell>
          <cell r="I96">
            <v>2636.8</v>
          </cell>
          <cell r="J96">
            <v>128000</v>
          </cell>
          <cell r="K96">
            <v>-31821</v>
          </cell>
          <cell r="L96">
            <v>998300.61318640178</v>
          </cell>
          <cell r="M96">
            <v>4686.8573389032945</v>
          </cell>
          <cell r="N96">
            <v>1024251.4920856419</v>
          </cell>
          <cell r="O96">
            <v>4786.2219256338412</v>
          </cell>
          <cell r="P96">
            <v>2.1200685138369854E-2</v>
          </cell>
          <cell r="Q96">
            <v>0</v>
          </cell>
          <cell r="R96">
            <v>0</v>
          </cell>
          <cell r="S96">
            <v>5396.6751966618785</v>
          </cell>
          <cell r="T96">
            <v>4686.8573389032945</v>
          </cell>
          <cell r="U96">
            <v>4786.2219256338412</v>
          </cell>
          <cell r="V96">
            <v>99.364586730546762</v>
          </cell>
          <cell r="W96">
            <v>2.1200685138369852</v>
          </cell>
          <cell r="X96">
            <v>0</v>
          </cell>
          <cell r="Y96">
            <v>0</v>
          </cell>
          <cell r="Z96">
            <v>0</v>
          </cell>
        </row>
        <row r="97">
          <cell r="C97">
            <v>2347</v>
          </cell>
          <cell r="D97" t="str">
            <v>Prince Edward Primary School</v>
          </cell>
          <cell r="E97">
            <v>411</v>
          </cell>
          <cell r="F97">
            <v>407</v>
          </cell>
          <cell r="G97">
            <v>-4</v>
          </cell>
          <cell r="H97">
            <v>2140412.9962614505</v>
          </cell>
          <cell r="I97">
            <v>49664</v>
          </cell>
          <cell r="J97">
            <v>128000</v>
          </cell>
          <cell r="K97">
            <v>-62587</v>
          </cell>
          <cell r="L97">
            <v>2025335.9962614505</v>
          </cell>
          <cell r="M97">
            <v>4927.8248084220204</v>
          </cell>
          <cell r="N97">
            <v>2066528.3159485469</v>
          </cell>
          <cell r="O97">
            <v>5077.4651497507293</v>
          </cell>
          <cell r="P97">
            <v>3.0366408536472808E-2</v>
          </cell>
          <cell r="Q97">
            <v>0</v>
          </cell>
          <cell r="R97">
            <v>0</v>
          </cell>
          <cell r="S97">
            <v>5513.9860342716138</v>
          </cell>
          <cell r="T97">
            <v>4927.8248084220204</v>
          </cell>
          <cell r="U97">
            <v>5077.4651497507293</v>
          </cell>
          <cell r="V97">
            <v>149.64034132870893</v>
          </cell>
          <cell r="W97">
            <v>3.0366408536472806</v>
          </cell>
          <cell r="X97">
            <v>0</v>
          </cell>
          <cell r="Y97">
            <v>0</v>
          </cell>
          <cell r="Z97">
            <v>0</v>
          </cell>
        </row>
        <row r="98">
          <cell r="C98">
            <v>2366</v>
          </cell>
          <cell r="D98" t="str">
            <v>Pye Bank CofE Primary School</v>
          </cell>
          <cell r="E98">
            <v>393</v>
          </cell>
          <cell r="F98">
            <v>423</v>
          </cell>
          <cell r="G98">
            <v>30</v>
          </cell>
          <cell r="H98">
            <v>2001705.0252124553</v>
          </cell>
          <cell r="I98">
            <v>9881.6</v>
          </cell>
          <cell r="J98">
            <v>128000</v>
          </cell>
          <cell r="K98">
            <v>-60161</v>
          </cell>
          <cell r="L98">
            <v>1923984.4252124552</v>
          </cell>
          <cell r="M98">
            <v>4895.6346697517947</v>
          </cell>
          <cell r="N98">
            <v>2124032.8752561812</v>
          </cell>
          <cell r="O98">
            <v>5021.3543150264331</v>
          </cell>
          <cell r="P98">
            <v>2.5679948312199594E-2</v>
          </cell>
          <cell r="Q98">
            <v>0</v>
          </cell>
          <cell r="R98">
            <v>0</v>
          </cell>
          <cell r="S98">
            <v>5347.3164899673311</v>
          </cell>
          <cell r="T98">
            <v>4895.6346697517947</v>
          </cell>
          <cell r="U98">
            <v>5021.3543150264331</v>
          </cell>
          <cell r="V98">
            <v>125.71964527463842</v>
          </cell>
          <cell r="W98">
            <v>2.5679948312199592</v>
          </cell>
          <cell r="X98">
            <v>0</v>
          </cell>
          <cell r="Y98">
            <v>0</v>
          </cell>
          <cell r="Z98">
            <v>0</v>
          </cell>
        </row>
        <row r="99">
          <cell r="C99">
            <v>2363</v>
          </cell>
          <cell r="D99" t="str">
            <v>Rainbow Forge Primary Academy</v>
          </cell>
          <cell r="E99">
            <v>288</v>
          </cell>
          <cell r="F99">
            <v>297</v>
          </cell>
          <cell r="G99">
            <v>9</v>
          </cell>
          <cell r="H99">
            <v>1381886.6558065803</v>
          </cell>
          <cell r="I99">
            <v>4172.7999999999993</v>
          </cell>
          <cell r="J99">
            <v>128000</v>
          </cell>
          <cell r="K99">
            <v>-43006</v>
          </cell>
          <cell r="L99">
            <v>1292719.8558065803</v>
          </cell>
          <cell r="M99">
            <v>4488.6106104395149</v>
          </cell>
          <cell r="N99">
            <v>1340073.8149170803</v>
          </cell>
          <cell r="O99">
            <v>4512.0330468588563</v>
          </cell>
          <cell r="P99">
            <v>5.2181929893553389E-3</v>
          </cell>
          <cell r="Q99">
            <v>0</v>
          </cell>
          <cell r="R99">
            <v>0</v>
          </cell>
          <cell r="S99">
            <v>4957.0599828857921</v>
          </cell>
          <cell r="T99">
            <v>4488.6106104395149</v>
          </cell>
          <cell r="U99">
            <v>4512.0330468588563</v>
          </cell>
          <cell r="V99">
            <v>23.422436419341466</v>
          </cell>
          <cell r="W99">
            <v>0.52181929893553392</v>
          </cell>
          <cell r="X99">
            <v>0</v>
          </cell>
          <cell r="Y99">
            <v>0</v>
          </cell>
          <cell r="Z99">
            <v>0</v>
          </cell>
        </row>
        <row r="100">
          <cell r="C100">
            <v>2334</v>
          </cell>
          <cell r="D100" t="str">
            <v>Reignhead Primary School</v>
          </cell>
          <cell r="E100">
            <v>264</v>
          </cell>
          <cell r="F100">
            <v>244</v>
          </cell>
          <cell r="G100">
            <v>-20</v>
          </cell>
          <cell r="H100">
            <v>1267087.2260568088</v>
          </cell>
          <cell r="I100">
            <v>31232</v>
          </cell>
          <cell r="J100">
            <v>128000</v>
          </cell>
          <cell r="K100">
            <v>-37278</v>
          </cell>
          <cell r="L100">
            <v>1145133.2260568088</v>
          </cell>
          <cell r="M100">
            <v>4337.6258562757912</v>
          </cell>
          <cell r="N100">
            <v>1056155.7747691383</v>
          </cell>
          <cell r="O100">
            <v>4328.5072736440097</v>
          </cell>
          <cell r="P100">
            <v>-2.1022058918678888E-3</v>
          </cell>
          <cell r="Q100">
            <v>7.1022058918678889E-3</v>
          </cell>
          <cell r="R100">
            <v>7516.8377068111422</v>
          </cell>
          <cell r="S100">
            <v>5011.9041494915955</v>
          </cell>
          <cell r="T100">
            <v>4337.6258562757912</v>
          </cell>
          <cell r="U100">
            <v>4359.3139855571699</v>
          </cell>
          <cell r="V100">
            <v>21.688129281378679</v>
          </cell>
          <cell r="W100">
            <v>0.49999999999999362</v>
          </cell>
          <cell r="X100">
            <v>0</v>
          </cell>
          <cell r="Y100">
            <v>0</v>
          </cell>
          <cell r="Z100">
            <v>0</v>
          </cell>
        </row>
        <row r="101">
          <cell r="C101">
            <v>2338</v>
          </cell>
          <cell r="D101" t="str">
            <v>Rivelin Primary School</v>
          </cell>
          <cell r="E101">
            <v>318</v>
          </cell>
          <cell r="F101">
            <v>351</v>
          </cell>
          <cell r="G101">
            <v>33</v>
          </cell>
          <cell r="H101">
            <v>1435750.4152749497</v>
          </cell>
          <cell r="I101">
            <v>23577.75</v>
          </cell>
          <cell r="J101">
            <v>128000</v>
          </cell>
          <cell r="K101">
            <v>-40646</v>
          </cell>
          <cell r="L101">
            <v>1324818.6652749497</v>
          </cell>
          <cell r="M101">
            <v>4166.0964316822319</v>
          </cell>
          <cell r="N101">
            <v>1485056.1321575602</v>
          </cell>
          <cell r="O101">
            <v>4230.9291514460401</v>
          </cell>
          <cell r="P101">
            <v>1.5561982500157669E-2</v>
          </cell>
          <cell r="Q101">
            <v>0</v>
          </cell>
          <cell r="R101">
            <v>0</v>
          </cell>
          <cell r="S101">
            <v>4662.7753052921944</v>
          </cell>
          <cell r="T101">
            <v>4166.0964316822319</v>
          </cell>
          <cell r="U101">
            <v>4230.9291514460401</v>
          </cell>
          <cell r="V101">
            <v>64.8327197638082</v>
          </cell>
          <cell r="W101">
            <v>1.5561982500157669</v>
          </cell>
          <cell r="X101">
            <v>0</v>
          </cell>
          <cell r="Y101">
            <v>0</v>
          </cell>
          <cell r="Z101">
            <v>0</v>
          </cell>
        </row>
        <row r="102">
          <cell r="C102">
            <v>2306</v>
          </cell>
          <cell r="D102" t="str">
            <v>Royd Nursery and Infant School</v>
          </cell>
          <cell r="E102">
            <v>130</v>
          </cell>
          <cell r="F102">
            <v>122</v>
          </cell>
          <cell r="G102">
            <v>-8</v>
          </cell>
          <cell r="H102">
            <v>655939.91047653975</v>
          </cell>
          <cell r="I102">
            <v>14595.75</v>
          </cell>
          <cell r="J102">
            <v>128000</v>
          </cell>
          <cell r="K102">
            <v>-18755</v>
          </cell>
          <cell r="L102">
            <v>532099.16047653975</v>
          </cell>
          <cell r="M102">
            <v>4093.0704652041518</v>
          </cell>
          <cell r="N102">
            <v>506630.71242091618</v>
          </cell>
          <cell r="O102">
            <v>4152.7107575484933</v>
          </cell>
          <cell r="P102">
            <v>1.4571039724664709E-2</v>
          </cell>
          <cell r="Q102">
            <v>0</v>
          </cell>
          <cell r="R102">
            <v>0</v>
          </cell>
          <cell r="S102">
            <v>5321.5304296796412</v>
          </cell>
          <cell r="T102">
            <v>4093.0704652041518</v>
          </cell>
          <cell r="U102">
            <v>4152.7107575484933</v>
          </cell>
          <cell r="V102">
            <v>59.64029234434156</v>
          </cell>
          <cell r="W102">
            <v>1.4571039724664709</v>
          </cell>
          <cell r="X102">
            <v>0</v>
          </cell>
          <cell r="Y102">
            <v>0</v>
          </cell>
          <cell r="Z102">
            <v>0</v>
          </cell>
        </row>
        <row r="103">
          <cell r="C103">
            <v>3401</v>
          </cell>
          <cell r="D103" t="str">
            <v>Sacred Heart School, A Catholic Voluntary Academy</v>
          </cell>
          <cell r="E103">
            <v>206</v>
          </cell>
          <cell r="F103">
            <v>200</v>
          </cell>
          <cell r="G103">
            <v>-6</v>
          </cell>
          <cell r="H103">
            <v>954235.08239478152</v>
          </cell>
          <cell r="I103">
            <v>3660.7999999999997</v>
          </cell>
          <cell r="J103">
            <v>128000</v>
          </cell>
          <cell r="K103">
            <v>-26722</v>
          </cell>
          <cell r="L103">
            <v>849296.28239478148</v>
          </cell>
          <cell r="M103">
            <v>4122.7974873533085</v>
          </cell>
          <cell r="N103">
            <v>829061.15196180344</v>
          </cell>
          <cell r="O103">
            <v>4145.3057598090172</v>
          </cell>
          <cell r="P103">
            <v>5.4594659390263291E-3</v>
          </cell>
          <cell r="Q103">
            <v>0</v>
          </cell>
          <cell r="R103">
            <v>0</v>
          </cell>
          <cell r="S103">
            <v>4803.6107598090175</v>
          </cell>
          <cell r="T103">
            <v>4122.7974873533085</v>
          </cell>
          <cell r="U103">
            <v>4145.3057598090172</v>
          </cell>
          <cell r="V103">
            <v>22.50827245570872</v>
          </cell>
          <cell r="W103">
            <v>0.54594659390263289</v>
          </cell>
          <cell r="X103">
            <v>0</v>
          </cell>
          <cell r="Y103">
            <v>0</v>
          </cell>
          <cell r="Z103">
            <v>0</v>
          </cell>
        </row>
        <row r="104">
          <cell r="C104">
            <v>2369</v>
          </cell>
          <cell r="D104" t="str">
            <v>Sharrow Nursery, Infant and Junior School</v>
          </cell>
          <cell r="E104">
            <v>415</v>
          </cell>
          <cell r="F104">
            <v>417</v>
          </cell>
          <cell r="G104">
            <v>2</v>
          </cell>
          <cell r="H104">
            <v>2070852.48844062</v>
          </cell>
          <cell r="I104">
            <v>51712</v>
          </cell>
          <cell r="J104">
            <v>128000</v>
          </cell>
          <cell r="K104">
            <v>-57875</v>
          </cell>
          <cell r="L104">
            <v>1949015.48844062</v>
          </cell>
          <cell r="M104">
            <v>4696.4228637123369</v>
          </cell>
          <cell r="N104">
            <v>1980082.7465985669</v>
          </cell>
          <cell r="O104">
            <v>4748.3998719390092</v>
          </cell>
          <cell r="P104">
            <v>1.1067361209800968E-2</v>
          </cell>
          <cell r="Q104">
            <v>0</v>
          </cell>
          <cell r="R104">
            <v>0</v>
          </cell>
          <cell r="S104">
            <v>5179.3639007159882</v>
          </cell>
          <cell r="T104">
            <v>4696.4228637123369</v>
          </cell>
          <cell r="U104">
            <v>4748.3998719390092</v>
          </cell>
          <cell r="V104">
            <v>51.977008226672297</v>
          </cell>
          <cell r="W104">
            <v>1.1067361209800968</v>
          </cell>
          <cell r="X104">
            <v>0</v>
          </cell>
          <cell r="Y104">
            <v>0</v>
          </cell>
          <cell r="Z104">
            <v>0</v>
          </cell>
        </row>
        <row r="105">
          <cell r="C105">
            <v>2349</v>
          </cell>
          <cell r="D105" t="str">
            <v>Shooter's Grove Primary School</v>
          </cell>
          <cell r="E105">
            <v>354</v>
          </cell>
          <cell r="F105">
            <v>359</v>
          </cell>
          <cell r="G105">
            <v>5</v>
          </cell>
          <cell r="H105">
            <v>1587858.7383692297</v>
          </cell>
          <cell r="I105">
            <v>26880</v>
          </cell>
          <cell r="J105">
            <v>128000</v>
          </cell>
          <cell r="K105">
            <v>-46263</v>
          </cell>
          <cell r="L105">
            <v>1479241.7383692297</v>
          </cell>
          <cell r="M105">
            <v>4178.6489784441519</v>
          </cell>
          <cell r="N105">
            <v>1486731.4979015708</v>
          </cell>
          <cell r="O105">
            <v>4141.3133646283304</v>
          </cell>
          <cell r="P105">
            <v>-8.9348528695326699E-3</v>
          </cell>
          <cell r="Q105">
            <v>1.3934852869532669E-2</v>
          </cell>
          <cell r="R105">
            <v>20904.160276187165</v>
          </cell>
          <cell r="S105">
            <v>4630.9628361497398</v>
          </cell>
          <cell r="T105">
            <v>4178.6489784441519</v>
          </cell>
          <cell r="U105">
            <v>4199.5422233363724</v>
          </cell>
          <cell r="V105">
            <v>20.893244892220537</v>
          </cell>
          <cell r="W105">
            <v>0.49999999999999462</v>
          </cell>
          <cell r="X105">
            <v>0</v>
          </cell>
          <cell r="Y105">
            <v>0</v>
          </cell>
          <cell r="Z105">
            <v>0</v>
          </cell>
        </row>
        <row r="106">
          <cell r="C106">
            <v>2360</v>
          </cell>
          <cell r="D106" t="str">
            <v>Shortbrook Primary School</v>
          </cell>
          <cell r="E106">
            <v>88</v>
          </cell>
          <cell r="F106">
            <v>84</v>
          </cell>
          <cell r="G106">
            <v>-4</v>
          </cell>
          <cell r="H106">
            <v>642205.44112960924</v>
          </cell>
          <cell r="I106">
            <v>13972</v>
          </cell>
          <cell r="J106">
            <v>128000</v>
          </cell>
          <cell r="K106">
            <v>-17061</v>
          </cell>
          <cell r="L106">
            <v>517294.44112960924</v>
          </cell>
          <cell r="M106">
            <v>5878.3459219273782</v>
          </cell>
          <cell r="N106">
            <v>402458.84629750927</v>
          </cell>
          <cell r="O106">
            <v>4791.1767416370149</v>
          </cell>
          <cell r="P106">
            <v>-0.1849447437645699</v>
          </cell>
          <cell r="Q106">
            <v>0.18994474376456991</v>
          </cell>
          <cell r="R106">
            <v>93791.116431600021</v>
          </cell>
          <cell r="S106">
            <v>7597.8805086798702</v>
          </cell>
          <cell r="T106">
            <v>5878.3459219273782</v>
          </cell>
          <cell r="U106">
            <v>5907.7376515370152</v>
          </cell>
          <cell r="V106">
            <v>29.391729609636968</v>
          </cell>
          <cell r="W106">
            <v>0.50000000000000133</v>
          </cell>
          <cell r="X106">
            <v>0</v>
          </cell>
          <cell r="Y106">
            <v>0</v>
          </cell>
          <cell r="Z106">
            <v>0</v>
          </cell>
        </row>
        <row r="107">
          <cell r="C107">
            <v>2009</v>
          </cell>
          <cell r="D107" t="str">
            <v>Southey Green Primary School and Nurseries</v>
          </cell>
          <cell r="E107">
            <v>605</v>
          </cell>
          <cell r="F107">
            <v>611</v>
          </cell>
          <cell r="G107">
            <v>6</v>
          </cell>
          <cell r="H107">
            <v>3072698.1500288569</v>
          </cell>
          <cell r="I107">
            <v>10741.76</v>
          </cell>
          <cell r="J107">
            <v>128000</v>
          </cell>
          <cell r="K107">
            <v>-92285</v>
          </cell>
          <cell r="L107">
            <v>3026241.3900288567</v>
          </cell>
          <cell r="M107">
            <v>5002.0518843452173</v>
          </cell>
          <cell r="N107">
            <v>3105750.3615581174</v>
          </cell>
          <cell r="O107">
            <v>5083.061148212958</v>
          </cell>
          <cell r="P107">
            <v>1.6195206635355598E-2</v>
          </cell>
          <cell r="Q107">
            <v>0</v>
          </cell>
          <cell r="R107">
            <v>0</v>
          </cell>
          <cell r="S107">
            <v>5310.1347979674592</v>
          </cell>
          <cell r="T107">
            <v>5002.0518843452173</v>
          </cell>
          <cell r="U107">
            <v>5083.061148212958</v>
          </cell>
          <cell r="V107">
            <v>81.009263867740628</v>
          </cell>
          <cell r="W107">
            <v>1.6195206635355599</v>
          </cell>
          <cell r="X107">
            <v>0</v>
          </cell>
          <cell r="Y107">
            <v>0</v>
          </cell>
          <cell r="Z107">
            <v>0</v>
          </cell>
        </row>
        <row r="108">
          <cell r="C108">
            <v>2329</v>
          </cell>
          <cell r="D108" t="str">
            <v>Springfield Primary School</v>
          </cell>
          <cell r="E108">
            <v>209</v>
          </cell>
          <cell r="F108">
            <v>208</v>
          </cell>
          <cell r="G108">
            <v>-1</v>
          </cell>
          <cell r="H108">
            <v>1125397.6019125658</v>
          </cell>
          <cell r="I108">
            <v>14096.75</v>
          </cell>
          <cell r="J108">
            <v>128000</v>
          </cell>
          <cell r="K108">
            <v>-31688</v>
          </cell>
          <cell r="L108">
            <v>1014988.8519125658</v>
          </cell>
          <cell r="M108">
            <v>4856.4059900122766</v>
          </cell>
          <cell r="N108">
            <v>1010469.1622535428</v>
          </cell>
          <cell r="O108">
            <v>4858.0248185266482</v>
          </cell>
          <cell r="P108">
            <v>3.3333879368837097E-4</v>
          </cell>
          <cell r="Q108">
            <v>4.6666612063116291E-3</v>
          </cell>
          <cell r="R108">
            <v>4713.9458986234595</v>
          </cell>
          <cell r="S108">
            <v>5563.8466738084908</v>
          </cell>
          <cell r="T108">
            <v>4856.4059900122766</v>
          </cell>
          <cell r="U108">
            <v>4880.6880199623374</v>
          </cell>
          <cell r="V108">
            <v>24.28202995006086</v>
          </cell>
          <cell r="W108">
            <v>0.49999999999998923</v>
          </cell>
          <cell r="X108">
            <v>0</v>
          </cell>
          <cell r="Y108">
            <v>0</v>
          </cell>
          <cell r="Z108">
            <v>0</v>
          </cell>
        </row>
        <row r="109">
          <cell r="C109">
            <v>5202</v>
          </cell>
          <cell r="D109" t="str">
            <v>St Ann's Catholic Primary School, A Voluntary Academy</v>
          </cell>
          <cell r="E109">
            <v>92</v>
          </cell>
          <cell r="F109">
            <v>99</v>
          </cell>
          <cell r="G109">
            <v>7</v>
          </cell>
          <cell r="H109">
            <v>498172.24343311001</v>
          </cell>
          <cell r="I109">
            <v>2252.8000000000002</v>
          </cell>
          <cell r="J109">
            <v>128000</v>
          </cell>
          <cell r="K109">
            <v>-14134</v>
          </cell>
          <cell r="L109">
            <v>382053.44343311002</v>
          </cell>
          <cell r="M109">
            <v>4152.7548199251087</v>
          </cell>
          <cell r="N109">
            <v>400927.03393667447</v>
          </cell>
          <cell r="O109">
            <v>4049.7680195623684</v>
          </cell>
          <cell r="P109">
            <v>-2.4799634177439241E-2</v>
          </cell>
          <cell r="Q109">
            <v>2.9799634177439242E-2</v>
          </cell>
          <cell r="R109">
            <v>12251.306871774215</v>
          </cell>
          <cell r="S109">
            <v>5489.2054627116031</v>
          </cell>
          <cell r="T109">
            <v>4152.7548199251087</v>
          </cell>
          <cell r="U109">
            <v>4173.5185940247338</v>
          </cell>
          <cell r="V109">
            <v>20.763774099625152</v>
          </cell>
          <cell r="W109">
            <v>0.49999999999999056</v>
          </cell>
          <cell r="X109">
            <v>0</v>
          </cell>
          <cell r="Y109">
            <v>0</v>
          </cell>
          <cell r="Z109">
            <v>0</v>
          </cell>
        </row>
        <row r="110">
          <cell r="C110">
            <v>3402</v>
          </cell>
          <cell r="D110" t="str">
            <v>St Catherine's Catholic Primary School (Hallam)</v>
          </cell>
          <cell r="E110">
            <v>422</v>
          </cell>
          <cell r="F110">
            <v>421</v>
          </cell>
          <cell r="G110">
            <v>-1</v>
          </cell>
          <cell r="H110">
            <v>2024067.5709408645</v>
          </cell>
          <cell r="I110">
            <v>8806.4</v>
          </cell>
          <cell r="J110">
            <v>128000</v>
          </cell>
          <cell r="K110">
            <v>-57619</v>
          </cell>
          <cell r="L110">
            <v>1944880.1709408646</v>
          </cell>
          <cell r="M110">
            <v>4608.7207842200587</v>
          </cell>
          <cell r="N110">
            <v>1988498.6381752966</v>
          </cell>
          <cell r="O110">
            <v>4723.2746750007045</v>
          </cell>
          <cell r="P110">
            <v>2.4855897361556467E-2</v>
          </cell>
          <cell r="Q110">
            <v>0</v>
          </cell>
          <cell r="R110">
            <v>0</v>
          </cell>
          <cell r="S110">
            <v>5048.2295443593739</v>
          </cell>
          <cell r="T110">
            <v>4608.7207842200587</v>
          </cell>
          <cell r="U110">
            <v>4723.2746750007045</v>
          </cell>
          <cell r="V110">
            <v>114.55389078064582</v>
          </cell>
          <cell r="W110">
            <v>2.4855897361556467</v>
          </cell>
          <cell r="X110">
            <v>0</v>
          </cell>
          <cell r="Y110">
            <v>0</v>
          </cell>
          <cell r="Z110">
            <v>0</v>
          </cell>
        </row>
        <row r="111">
          <cell r="C111">
            <v>2017</v>
          </cell>
          <cell r="D111" t="str">
            <v>St John Fisher Primary, A Catholic Voluntary Academy</v>
          </cell>
          <cell r="E111">
            <v>210</v>
          </cell>
          <cell r="F111">
            <v>208</v>
          </cell>
          <cell r="G111">
            <v>-2</v>
          </cell>
          <cell r="H111">
            <v>971724.1717242999</v>
          </cell>
          <cell r="I111">
            <v>3251.2</v>
          </cell>
          <cell r="J111">
            <v>128000</v>
          </cell>
          <cell r="K111">
            <v>-27450</v>
          </cell>
          <cell r="L111">
            <v>867922.97172429995</v>
          </cell>
          <cell r="M111">
            <v>4132.9665320204758</v>
          </cell>
          <cell r="N111">
            <v>854885.48621224239</v>
          </cell>
          <cell r="O111">
            <v>4110.0263760203961</v>
          </cell>
          <cell r="P111">
            <v>-5.5505303085203028E-3</v>
          </cell>
          <cell r="Q111">
            <v>1.0550530308520302E-2</v>
          </cell>
          <cell r="R111">
            <v>9069.8376413178703</v>
          </cell>
          <cell r="S111">
            <v>4784.6457877575031</v>
          </cell>
          <cell r="T111">
            <v>4132.9665320204758</v>
          </cell>
          <cell r="U111">
            <v>4153.6313646805784</v>
          </cell>
          <cell r="V111">
            <v>20.664832660102547</v>
          </cell>
          <cell r="W111">
            <v>0.50000000000000411</v>
          </cell>
          <cell r="X111">
            <v>0</v>
          </cell>
          <cell r="Y111">
            <v>0</v>
          </cell>
          <cell r="Z111">
            <v>0</v>
          </cell>
        </row>
        <row r="112">
          <cell r="C112">
            <v>5203</v>
          </cell>
          <cell r="D112" t="str">
            <v>St Joseph's Primary School</v>
          </cell>
          <cell r="E112">
            <v>204</v>
          </cell>
          <cell r="F112">
            <v>207</v>
          </cell>
          <cell r="G112">
            <v>3</v>
          </cell>
          <cell r="H112">
            <v>975367.13349596353</v>
          </cell>
          <cell r="I112">
            <v>3046.3999999999996</v>
          </cell>
          <cell r="J112">
            <v>128000</v>
          </cell>
          <cell r="K112">
            <v>-25933</v>
          </cell>
          <cell r="L112">
            <v>870253.7334959635</v>
          </cell>
          <cell r="M112">
            <v>4265.9496739998212</v>
          </cell>
          <cell r="N112">
            <v>874685.8904504322</v>
          </cell>
          <cell r="O112">
            <v>4225.5357026590927</v>
          </cell>
          <cell r="P112">
            <v>-9.4736165283533982E-3</v>
          </cell>
          <cell r="Q112">
            <v>1.4473616528353397E-2</v>
          </cell>
          <cell r="R112">
            <v>12780.949980120615</v>
          </cell>
          <cell r="S112">
            <v>4920.351886137938</v>
          </cell>
          <cell r="T112">
            <v>4265.9496739998212</v>
          </cell>
          <cell r="U112">
            <v>4287.2794223698202</v>
          </cell>
          <cell r="V112">
            <v>21.329748369998924</v>
          </cell>
          <cell r="W112">
            <v>0.49999999999999578</v>
          </cell>
          <cell r="X112">
            <v>0</v>
          </cell>
          <cell r="Y112">
            <v>0</v>
          </cell>
          <cell r="Z112">
            <v>0</v>
          </cell>
        </row>
        <row r="113">
          <cell r="C113">
            <v>3406</v>
          </cell>
          <cell r="D113" t="str">
            <v>St Marie's School, A Catholic Voluntary Academy</v>
          </cell>
          <cell r="E113">
            <v>217</v>
          </cell>
          <cell r="F113">
            <v>216</v>
          </cell>
          <cell r="G113">
            <v>-1</v>
          </cell>
          <cell r="H113">
            <v>962330.92549959675</v>
          </cell>
          <cell r="I113">
            <v>4915.2</v>
          </cell>
          <cell r="J113">
            <v>128000</v>
          </cell>
          <cell r="K113">
            <v>-26599</v>
          </cell>
          <cell r="L113">
            <v>856014.72549959668</v>
          </cell>
          <cell r="M113">
            <v>3944.7683202746389</v>
          </cell>
          <cell r="N113">
            <v>842146.66272612149</v>
          </cell>
          <cell r="O113">
            <v>3898.8271422505622</v>
          </cell>
          <cell r="P113">
            <v>-1.1646102963247829E-2</v>
          </cell>
          <cell r="Q113">
            <v>1.6646102963247828E-2</v>
          </cell>
          <cell r="R113">
            <v>14183.644239097162</v>
          </cell>
          <cell r="S113">
            <v>4579.8393840982353</v>
          </cell>
          <cell r="T113">
            <v>3944.7683202746389</v>
          </cell>
          <cell r="U113">
            <v>3964.4921618760122</v>
          </cell>
          <cell r="V113">
            <v>19.723841601373351</v>
          </cell>
          <cell r="W113">
            <v>0.500000000000004</v>
          </cell>
          <cell r="X113">
            <v>0</v>
          </cell>
          <cell r="Y113">
            <v>0</v>
          </cell>
          <cell r="Z113">
            <v>0</v>
          </cell>
        </row>
        <row r="114">
          <cell r="C114">
            <v>2020</v>
          </cell>
          <cell r="D114" t="str">
            <v>St Mary's Church of England Primary School</v>
          </cell>
          <cell r="E114">
            <v>197</v>
          </cell>
          <cell r="F114">
            <v>204</v>
          </cell>
          <cell r="G114">
            <v>7</v>
          </cell>
          <cell r="H114">
            <v>981285.74307051639</v>
          </cell>
          <cell r="I114">
            <v>2457.6</v>
          </cell>
          <cell r="J114">
            <v>128000</v>
          </cell>
          <cell r="K114">
            <v>-28229</v>
          </cell>
          <cell r="L114">
            <v>879057.14307051641</v>
          </cell>
          <cell r="M114">
            <v>4462.2190003579517</v>
          </cell>
          <cell r="N114">
            <v>907384.66213352303</v>
          </cell>
          <cell r="O114">
            <v>4447.9640300662895</v>
          </cell>
          <cell r="P114">
            <v>-3.1945922623965038E-3</v>
          </cell>
          <cell r="Q114">
            <v>8.1945922623965044E-3</v>
          </cell>
          <cell r="R114">
            <v>7459.4773198641951</v>
          </cell>
          <cell r="S114">
            <v>5124.030095359738</v>
          </cell>
          <cell r="T114">
            <v>4462.2190003579517</v>
          </cell>
          <cell r="U114">
            <v>4484.5300953597416</v>
          </cell>
          <cell r="V114">
            <v>22.311095001789909</v>
          </cell>
          <cell r="W114">
            <v>0.50000000000000344</v>
          </cell>
          <cell r="X114">
            <v>0</v>
          </cell>
          <cell r="Y114">
            <v>0</v>
          </cell>
          <cell r="Z114">
            <v>0</v>
          </cell>
        </row>
        <row r="115">
          <cell r="C115">
            <v>3423</v>
          </cell>
          <cell r="D115" t="str">
            <v>St Mary's Primary School, A Catholic Voluntary Academy</v>
          </cell>
          <cell r="E115">
            <v>188</v>
          </cell>
          <cell r="F115">
            <v>176</v>
          </cell>
          <cell r="G115">
            <v>-12</v>
          </cell>
          <cell r="H115">
            <v>865291.88215853064</v>
          </cell>
          <cell r="I115">
            <v>3532.7999999999997</v>
          </cell>
          <cell r="J115">
            <v>128000</v>
          </cell>
          <cell r="K115">
            <v>-23786</v>
          </cell>
          <cell r="L115">
            <v>757545.0821585306</v>
          </cell>
          <cell r="M115">
            <v>4029.4951178645247</v>
          </cell>
          <cell r="N115">
            <v>688049.7256267037</v>
          </cell>
          <cell r="O115">
            <v>3909.3734410608163</v>
          </cell>
          <cell r="P115">
            <v>-2.9810602393127654E-2</v>
          </cell>
          <cell r="Q115">
            <v>3.4810602393127651E-2</v>
          </cell>
          <cell r="R115">
            <v>24687.370821173459</v>
          </cell>
          <cell r="S115">
            <v>4796.9891843629366</v>
          </cell>
          <cell r="T115">
            <v>4029.4951178645247</v>
          </cell>
          <cell r="U115">
            <v>4049.6425934538474</v>
          </cell>
          <cell r="V115">
            <v>20.147475589322767</v>
          </cell>
          <cell r="W115">
            <v>0.50000000000000355</v>
          </cell>
          <cell r="X115">
            <v>0</v>
          </cell>
          <cell r="Y115">
            <v>0</v>
          </cell>
          <cell r="Z115">
            <v>0</v>
          </cell>
        </row>
        <row r="116">
          <cell r="C116">
            <v>5207</v>
          </cell>
          <cell r="D116" t="str">
            <v>St Patrick's Catholic Voluntary Academy</v>
          </cell>
          <cell r="E116">
            <v>279</v>
          </cell>
          <cell r="F116">
            <v>279</v>
          </cell>
          <cell r="G116">
            <v>0</v>
          </cell>
          <cell r="H116">
            <v>1359513.468720108</v>
          </cell>
          <cell r="I116">
            <v>4224</v>
          </cell>
          <cell r="J116">
            <v>128000</v>
          </cell>
          <cell r="K116">
            <v>-38223</v>
          </cell>
          <cell r="L116">
            <v>1265512.468720108</v>
          </cell>
          <cell r="M116">
            <v>4535.8869846598855</v>
          </cell>
          <cell r="N116">
            <v>1293976.4156466611</v>
          </cell>
          <cell r="O116">
            <v>4637.9082998088206</v>
          </cell>
          <cell r="P116">
            <v>2.2492031987120825E-2</v>
          </cell>
          <cell r="Q116">
            <v>0</v>
          </cell>
          <cell r="R116">
            <v>0</v>
          </cell>
          <cell r="S116">
            <v>5111.8294467622263</v>
          </cell>
          <cell r="T116">
            <v>4535.8869846598855</v>
          </cell>
          <cell r="U116">
            <v>4637.9082998088206</v>
          </cell>
          <cell r="V116">
            <v>102.02131514893517</v>
          </cell>
          <cell r="W116">
            <v>2.2492031987120824</v>
          </cell>
          <cell r="X116">
            <v>0</v>
          </cell>
          <cell r="Y116">
            <v>0</v>
          </cell>
          <cell r="Z116">
            <v>0</v>
          </cell>
        </row>
        <row r="117">
          <cell r="C117">
            <v>5208</v>
          </cell>
          <cell r="D117" t="str">
            <v>St Theresa's Catholic Primary School</v>
          </cell>
          <cell r="E117">
            <v>207</v>
          </cell>
          <cell r="F117">
            <v>207</v>
          </cell>
          <cell r="G117">
            <v>0</v>
          </cell>
          <cell r="H117">
            <v>1059507.1873210147</v>
          </cell>
          <cell r="I117">
            <v>3404.8</v>
          </cell>
          <cell r="J117">
            <v>128000</v>
          </cell>
          <cell r="K117">
            <v>-29539</v>
          </cell>
          <cell r="L117">
            <v>957641.38732101466</v>
          </cell>
          <cell r="M117">
            <v>4626.2868952706021</v>
          </cell>
          <cell r="N117">
            <v>980303.70563591085</v>
          </cell>
          <cell r="O117">
            <v>4735.7666938932889</v>
          </cell>
          <cell r="P117">
            <v>2.366472315727039E-2</v>
          </cell>
          <cell r="Q117">
            <v>0</v>
          </cell>
          <cell r="R117">
            <v>0</v>
          </cell>
          <cell r="S117">
            <v>5370.2014765019849</v>
          </cell>
          <cell r="T117">
            <v>4626.2868952706021</v>
          </cell>
          <cell r="U117">
            <v>4735.7666938932889</v>
          </cell>
          <cell r="V117">
            <v>109.47979862268676</v>
          </cell>
          <cell r="W117">
            <v>2.3664723157270391</v>
          </cell>
          <cell r="X117">
            <v>0</v>
          </cell>
          <cell r="Y117">
            <v>0</v>
          </cell>
          <cell r="Z117">
            <v>0</v>
          </cell>
        </row>
        <row r="118">
          <cell r="C118">
            <v>3424</v>
          </cell>
          <cell r="D118" t="str">
            <v>St Thomas More Catholic Primary, A Voluntary Academy</v>
          </cell>
          <cell r="E118">
            <v>209</v>
          </cell>
          <cell r="F118">
            <v>208</v>
          </cell>
          <cell r="G118">
            <v>-1</v>
          </cell>
          <cell r="H118">
            <v>981984.81400205335</v>
          </cell>
          <cell r="I118">
            <v>2816</v>
          </cell>
          <cell r="J118">
            <v>128000</v>
          </cell>
          <cell r="K118">
            <v>-27353</v>
          </cell>
          <cell r="L118">
            <v>878521.81400205335</v>
          </cell>
          <cell r="M118">
            <v>4203.4536555122168</v>
          </cell>
          <cell r="N118">
            <v>891214.41253497149</v>
          </cell>
          <cell r="O118">
            <v>4284.6846756489012</v>
          </cell>
          <cell r="P118">
            <v>1.9324828294505363E-2</v>
          </cell>
          <cell r="Q118">
            <v>0</v>
          </cell>
          <cell r="R118">
            <v>0</v>
          </cell>
          <cell r="S118">
            <v>4913.6077525719784</v>
          </cell>
          <cell r="T118">
            <v>4203.4536555122168</v>
          </cell>
          <cell r="U118">
            <v>4284.6846756489012</v>
          </cell>
          <cell r="V118">
            <v>81.231020136684492</v>
          </cell>
          <cell r="W118">
            <v>1.9324828294505363</v>
          </cell>
          <cell r="X118">
            <v>0</v>
          </cell>
          <cell r="Y118">
            <v>0</v>
          </cell>
          <cell r="Z118">
            <v>0</v>
          </cell>
        </row>
        <row r="119">
          <cell r="C119">
            <v>3414</v>
          </cell>
          <cell r="D119" t="str">
            <v>St Thomas of Canterbury School, a Catholic Voluntary Academy</v>
          </cell>
          <cell r="E119">
            <v>211</v>
          </cell>
          <cell r="F119">
            <v>210</v>
          </cell>
          <cell r="G119">
            <v>-1</v>
          </cell>
          <cell r="H119">
            <v>933463.70418944978</v>
          </cell>
          <cell r="I119">
            <v>3763.2</v>
          </cell>
          <cell r="J119">
            <v>128000</v>
          </cell>
          <cell r="K119">
            <v>-26867</v>
          </cell>
          <cell r="L119">
            <v>828567.50418944983</v>
          </cell>
          <cell r="M119">
            <v>3926.8602094286721</v>
          </cell>
          <cell r="N119">
            <v>831890.92411019595</v>
          </cell>
          <cell r="O119">
            <v>3961.3853529056951</v>
          </cell>
          <cell r="P119">
            <v>8.7920480067321099E-3</v>
          </cell>
          <cell r="Q119">
            <v>0</v>
          </cell>
          <cell r="R119">
            <v>0</v>
          </cell>
          <cell r="S119">
            <v>4588.8282100485521</v>
          </cell>
          <cell r="T119">
            <v>3926.8602094286721</v>
          </cell>
          <cell r="U119">
            <v>3961.3853529056951</v>
          </cell>
          <cell r="V119">
            <v>34.525143477022993</v>
          </cell>
          <cell r="W119">
            <v>0.87920480067321094</v>
          </cell>
          <cell r="X119">
            <v>0</v>
          </cell>
          <cell r="Y119">
            <v>0</v>
          </cell>
          <cell r="Z119">
            <v>0</v>
          </cell>
        </row>
        <row r="120">
          <cell r="C120">
            <v>3412</v>
          </cell>
          <cell r="D120" t="str">
            <v>St Wilfrid's Catholic Primary School</v>
          </cell>
          <cell r="E120">
            <v>307</v>
          </cell>
          <cell r="F120">
            <v>297</v>
          </cell>
          <cell r="G120">
            <v>-10</v>
          </cell>
          <cell r="H120">
            <v>1313861</v>
          </cell>
          <cell r="I120">
            <v>4505.6000000000004</v>
          </cell>
          <cell r="J120">
            <v>128000</v>
          </cell>
          <cell r="K120">
            <v>-34394</v>
          </cell>
          <cell r="L120">
            <v>1215749.3999999999</v>
          </cell>
          <cell r="M120">
            <v>3960.0957654723125</v>
          </cell>
          <cell r="N120">
            <v>1180285</v>
          </cell>
          <cell r="O120">
            <v>3974.0235690235691</v>
          </cell>
          <cell r="P120">
            <v>3.5170370556923797E-3</v>
          </cell>
          <cell r="Q120">
            <v>1.4829629443076204E-3</v>
          </cell>
          <cell r="R120">
            <v>1744.1845570031733</v>
          </cell>
          <cell r="S120">
            <v>4426.0443924478232</v>
          </cell>
          <cell r="T120">
            <v>3960.0957654723125</v>
          </cell>
          <cell r="U120">
            <v>3979.896244299674</v>
          </cell>
          <cell r="V120">
            <v>19.80047882736153</v>
          </cell>
          <cell r="W120">
            <v>0.49999999999999922</v>
          </cell>
          <cell r="X120">
            <v>0</v>
          </cell>
          <cell r="Y120">
            <v>0</v>
          </cell>
          <cell r="Z120">
            <v>0</v>
          </cell>
        </row>
        <row r="121">
          <cell r="C121">
            <v>2294</v>
          </cell>
          <cell r="D121" t="str">
            <v>Stannington Infant School</v>
          </cell>
          <cell r="E121">
            <v>181</v>
          </cell>
          <cell r="F121">
            <v>181</v>
          </cell>
          <cell r="G121">
            <v>0</v>
          </cell>
          <cell r="H121">
            <v>824414.41115405434</v>
          </cell>
          <cell r="I121">
            <v>1894.4</v>
          </cell>
          <cell r="J121">
            <v>128000</v>
          </cell>
          <cell r="K121">
            <v>-23022</v>
          </cell>
          <cell r="L121">
            <v>717542.01115405431</v>
          </cell>
          <cell r="M121">
            <v>3964.3205036135596</v>
          </cell>
          <cell r="N121">
            <v>718842.15704473725</v>
          </cell>
          <cell r="O121">
            <v>3971.5036300814213</v>
          </cell>
          <cell r="P121">
            <v>1.8119439286793648E-3</v>
          </cell>
          <cell r="Q121">
            <v>3.188056071320635E-3</v>
          </cell>
          <cell r="R121">
            <v>2287.5641650873013</v>
          </cell>
          <cell r="S121">
            <v>4701.7885149714075</v>
          </cell>
          <cell r="T121">
            <v>3964.3205036135596</v>
          </cell>
          <cell r="U121">
            <v>3984.1421061316273</v>
          </cell>
          <cell r="V121">
            <v>19.821602518067721</v>
          </cell>
          <cell r="W121">
            <v>0.499999999999998</v>
          </cell>
          <cell r="X121">
            <v>0</v>
          </cell>
          <cell r="Y121">
            <v>0</v>
          </cell>
          <cell r="Z121">
            <v>0</v>
          </cell>
        </row>
        <row r="122">
          <cell r="C122">
            <v>2303</v>
          </cell>
          <cell r="D122" t="str">
            <v>Stocksbridge Junior School</v>
          </cell>
          <cell r="E122">
            <v>308</v>
          </cell>
          <cell r="F122">
            <v>295</v>
          </cell>
          <cell r="G122">
            <v>-13</v>
          </cell>
          <cell r="H122">
            <v>1428224.2993115573</v>
          </cell>
          <cell r="I122">
            <v>20583.75</v>
          </cell>
          <cell r="J122">
            <v>128000</v>
          </cell>
          <cell r="K122">
            <v>-40951</v>
          </cell>
          <cell r="L122">
            <v>1320591.5493115573</v>
          </cell>
          <cell r="M122">
            <v>4287.634900362199</v>
          </cell>
          <cell r="N122">
            <v>1264226.3563715864</v>
          </cell>
          <cell r="O122">
            <v>4285.513072446056</v>
          </cell>
          <cell r="P122">
            <v>-4.9487140706961903E-4</v>
          </cell>
          <cell r="Q122">
            <v>5.4948714070696195E-3</v>
          </cell>
          <cell r="R122">
            <v>6950.2007132964436</v>
          </cell>
          <cell r="S122">
            <v>4812.747651135197</v>
          </cell>
          <cell r="T122">
            <v>4287.634900362199</v>
          </cell>
          <cell r="U122">
            <v>4309.0730748640099</v>
          </cell>
          <cell r="V122">
            <v>21.438174501810863</v>
          </cell>
          <cell r="W122">
            <v>0.49999999999999689</v>
          </cell>
          <cell r="X122">
            <v>0</v>
          </cell>
          <cell r="Y122">
            <v>0</v>
          </cell>
          <cell r="Z122">
            <v>0</v>
          </cell>
        </row>
        <row r="123">
          <cell r="C123">
            <v>2302</v>
          </cell>
          <cell r="D123" t="str">
            <v>Stocksbridge Nursery Infant School</v>
          </cell>
          <cell r="E123">
            <v>194</v>
          </cell>
          <cell r="F123">
            <v>198</v>
          </cell>
          <cell r="G123">
            <v>4</v>
          </cell>
          <cell r="H123">
            <v>935873.76447474246</v>
          </cell>
          <cell r="I123">
            <v>16342</v>
          </cell>
          <cell r="J123">
            <v>128000</v>
          </cell>
          <cell r="K123">
            <v>-26918</v>
          </cell>
          <cell r="L123">
            <v>818449.76447474246</v>
          </cell>
          <cell r="M123">
            <v>4218.8132189419712</v>
          </cell>
          <cell r="N123">
            <v>865212.87875079946</v>
          </cell>
          <cell r="O123">
            <v>4369.7620138929269</v>
          </cell>
          <cell r="P123">
            <v>3.5779918929146601E-2</v>
          </cell>
          <cell r="Q123">
            <v>0</v>
          </cell>
          <cell r="R123">
            <v>0</v>
          </cell>
          <cell r="S123">
            <v>5098.7620138929269</v>
          </cell>
          <cell r="T123">
            <v>4218.8132189419712</v>
          </cell>
          <cell r="U123">
            <v>4369.7620138929269</v>
          </cell>
          <cell r="V123">
            <v>150.94879495095574</v>
          </cell>
          <cell r="W123">
            <v>3.5779918929146599</v>
          </cell>
          <cell r="X123">
            <v>0</v>
          </cell>
          <cell r="Y123">
            <v>0</v>
          </cell>
          <cell r="Z123">
            <v>0</v>
          </cell>
        </row>
        <row r="124">
          <cell r="C124">
            <v>2350</v>
          </cell>
          <cell r="D124" t="str">
            <v>Stradbroke Primary School</v>
          </cell>
          <cell r="E124">
            <v>412</v>
          </cell>
          <cell r="F124">
            <v>411</v>
          </cell>
          <cell r="G124">
            <v>-1</v>
          </cell>
          <cell r="H124">
            <v>2046443.641264884</v>
          </cell>
          <cell r="I124">
            <v>29184</v>
          </cell>
          <cell r="J124">
            <v>128000</v>
          </cell>
          <cell r="K124">
            <v>-60729</v>
          </cell>
          <cell r="L124">
            <v>1949988.641264884</v>
          </cell>
          <cell r="M124">
            <v>4732.9821389924373</v>
          </cell>
          <cell r="N124">
            <v>1986036.6135037858</v>
          </cell>
          <cell r="O124">
            <v>4832.2058722719848</v>
          </cell>
          <cell r="P124">
            <v>2.0964316020146746E-2</v>
          </cell>
          <cell r="Q124">
            <v>0</v>
          </cell>
          <cell r="R124">
            <v>0</v>
          </cell>
          <cell r="S124">
            <v>5214.6486946564128</v>
          </cell>
          <cell r="T124">
            <v>4732.9821389924373</v>
          </cell>
          <cell r="U124">
            <v>4832.2058722719848</v>
          </cell>
          <cell r="V124">
            <v>99.22373327954756</v>
          </cell>
          <cell r="W124">
            <v>2.0964316020146745</v>
          </cell>
          <cell r="X124">
            <v>0</v>
          </cell>
          <cell r="Y124">
            <v>0</v>
          </cell>
          <cell r="Z124">
            <v>0</v>
          </cell>
        </row>
        <row r="125">
          <cell r="C125">
            <v>2230</v>
          </cell>
          <cell r="D125" t="str">
            <v>Tinsley Meadows Primary School</v>
          </cell>
          <cell r="E125">
            <v>543</v>
          </cell>
          <cell r="F125">
            <v>545</v>
          </cell>
          <cell r="G125">
            <v>2</v>
          </cell>
          <cell r="H125">
            <v>2647974.1421129238</v>
          </cell>
          <cell r="I125">
            <v>16076.800000000001</v>
          </cell>
          <cell r="J125">
            <v>128000</v>
          </cell>
          <cell r="K125">
            <v>-77006</v>
          </cell>
          <cell r="L125">
            <v>2580903.342112924</v>
          </cell>
          <cell r="M125">
            <v>4753.0448289372453</v>
          </cell>
          <cell r="N125">
            <v>2664553.3164346418</v>
          </cell>
          <cell r="O125">
            <v>4889.0886540085176</v>
          </cell>
          <cell r="P125">
            <v>2.862245780704975E-2</v>
          </cell>
          <cell r="Q125">
            <v>0</v>
          </cell>
          <cell r="R125">
            <v>0</v>
          </cell>
          <cell r="S125">
            <v>5129.0703053846637</v>
          </cell>
          <cell r="T125">
            <v>4753.0448289372453</v>
          </cell>
          <cell r="U125">
            <v>4889.0886540085176</v>
          </cell>
          <cell r="V125">
            <v>136.04382507127229</v>
          </cell>
          <cell r="W125">
            <v>2.862245780704975</v>
          </cell>
          <cell r="X125">
            <v>0</v>
          </cell>
          <cell r="Y125">
            <v>0</v>
          </cell>
          <cell r="Z125">
            <v>0</v>
          </cell>
        </row>
        <row r="126">
          <cell r="C126">
            <v>5206</v>
          </cell>
          <cell r="D126" t="str">
            <v>Totley All Saints Church of England Voluntary Aided Primary School</v>
          </cell>
          <cell r="E126">
            <v>214</v>
          </cell>
          <cell r="F126">
            <v>211</v>
          </cell>
          <cell r="G126">
            <v>-3</v>
          </cell>
          <cell r="H126">
            <v>934235.20312346797</v>
          </cell>
          <cell r="I126">
            <v>3276.8</v>
          </cell>
          <cell r="J126">
            <v>128000</v>
          </cell>
          <cell r="K126">
            <v>-25798</v>
          </cell>
          <cell r="L126">
            <v>828756.40312346793</v>
          </cell>
          <cell r="M126">
            <v>3872.6934725395699</v>
          </cell>
          <cell r="N126">
            <v>828321.23500413459</v>
          </cell>
          <cell r="O126">
            <v>3925.6930568916332</v>
          </cell>
          <cell r="P126">
            <v>1.3685458125687415E-2</v>
          </cell>
          <cell r="Q126">
            <v>0</v>
          </cell>
          <cell r="R126">
            <v>0</v>
          </cell>
          <cell r="S126">
            <v>4547.8589336688847</v>
          </cell>
          <cell r="T126">
            <v>3872.6934725395699</v>
          </cell>
          <cell r="U126">
            <v>3925.6930568916332</v>
          </cell>
          <cell r="V126">
            <v>52.999584352063266</v>
          </cell>
          <cell r="W126">
            <v>1.3685458125687415</v>
          </cell>
          <cell r="X126">
            <v>0</v>
          </cell>
          <cell r="Y126">
            <v>0</v>
          </cell>
          <cell r="Z126">
            <v>0</v>
          </cell>
        </row>
        <row r="127">
          <cell r="C127">
            <v>2203</v>
          </cell>
          <cell r="D127" t="str">
            <v>Totley Primary School</v>
          </cell>
          <cell r="E127">
            <v>399</v>
          </cell>
          <cell r="F127">
            <v>423</v>
          </cell>
          <cell r="G127">
            <v>24</v>
          </cell>
          <cell r="H127">
            <v>1705140</v>
          </cell>
          <cell r="I127">
            <v>3404.8</v>
          </cell>
          <cell r="J127">
            <v>128000</v>
          </cell>
          <cell r="K127">
            <v>-45783</v>
          </cell>
          <cell r="L127">
            <v>1619518.2</v>
          </cell>
          <cell r="M127">
            <v>4058.9428571428571</v>
          </cell>
          <cell r="N127">
            <v>1735315</v>
          </cell>
          <cell r="O127">
            <v>4102.3995271867616</v>
          </cell>
          <cell r="P127">
            <v>1.0706401044161099E-2</v>
          </cell>
          <cell r="Q127">
            <v>0</v>
          </cell>
          <cell r="R127">
            <v>0</v>
          </cell>
          <cell r="S127">
            <v>4413.0496453900705</v>
          </cell>
          <cell r="T127">
            <v>4058.9428571428571</v>
          </cell>
          <cell r="U127">
            <v>4102.3995271867616</v>
          </cell>
          <cell r="V127">
            <v>43.456670043904523</v>
          </cell>
          <cell r="W127">
            <v>1.07064010441611</v>
          </cell>
          <cell r="X127">
            <v>0</v>
          </cell>
          <cell r="Y127">
            <v>0</v>
          </cell>
          <cell r="Z127">
            <v>0</v>
          </cell>
        </row>
        <row r="128">
          <cell r="C128">
            <v>2351</v>
          </cell>
          <cell r="D128" t="str">
            <v>Walkley Primary School</v>
          </cell>
          <cell r="E128">
            <v>345</v>
          </cell>
          <cell r="F128">
            <v>377</v>
          </cell>
          <cell r="G128">
            <v>32</v>
          </cell>
          <cell r="H128">
            <v>1621510.7120172228</v>
          </cell>
          <cell r="I128">
            <v>46080</v>
          </cell>
          <cell r="J128">
            <v>128000</v>
          </cell>
          <cell r="K128">
            <v>-45475</v>
          </cell>
          <cell r="L128">
            <v>1492905.7120172228</v>
          </cell>
          <cell r="M128">
            <v>4327.2629333832547</v>
          </cell>
          <cell r="N128">
            <v>1636569.3593993855</v>
          </cell>
          <cell r="O128">
            <v>4341.0327835527469</v>
          </cell>
          <cell r="P128">
            <v>3.182115434507765E-3</v>
          </cell>
          <cell r="Q128">
            <v>1.8178845654922351E-3</v>
          </cell>
          <cell r="R128">
            <v>2965.6571155288757</v>
          </cell>
          <cell r="S128">
            <v>4810.6499111801459</v>
          </cell>
          <cell r="T128">
            <v>4327.2629333832547</v>
          </cell>
          <cell r="U128">
            <v>4348.8992480501711</v>
          </cell>
          <cell r="V128">
            <v>21.636314666916405</v>
          </cell>
          <cell r="W128">
            <v>0.500000000000003</v>
          </cell>
          <cell r="X128">
            <v>0</v>
          </cell>
          <cell r="Y128">
            <v>0</v>
          </cell>
          <cell r="Z128">
            <v>0</v>
          </cell>
        </row>
        <row r="129">
          <cell r="C129">
            <v>3432</v>
          </cell>
          <cell r="D129" t="str">
            <v>Watercliffe Meadow Community Primary School</v>
          </cell>
          <cell r="E129">
            <v>407</v>
          </cell>
          <cell r="F129">
            <v>417</v>
          </cell>
          <cell r="G129">
            <v>10</v>
          </cell>
          <cell r="H129">
            <v>2090741.0358792301</v>
          </cell>
          <cell r="I129">
            <v>45568</v>
          </cell>
          <cell r="J129">
            <v>128000</v>
          </cell>
          <cell r="K129">
            <v>-61944</v>
          </cell>
          <cell r="L129">
            <v>1979117.0358792301</v>
          </cell>
          <cell r="M129">
            <v>4862.6954198506883</v>
          </cell>
          <cell r="N129">
            <v>2075965.1606082534</v>
          </cell>
          <cell r="O129">
            <v>4978.3337184850207</v>
          </cell>
          <cell r="P129">
            <v>2.3780699519502936E-2</v>
          </cell>
          <cell r="Q129">
            <v>0</v>
          </cell>
          <cell r="R129">
            <v>0</v>
          </cell>
          <cell r="S129">
            <v>5394.5639343123585</v>
          </cell>
          <cell r="T129">
            <v>4862.6954198506883</v>
          </cell>
          <cell r="U129">
            <v>4978.3337184850207</v>
          </cell>
          <cell r="V129">
            <v>115.63829863433239</v>
          </cell>
          <cell r="W129">
            <v>2.3780699519502937</v>
          </cell>
          <cell r="X129">
            <v>0</v>
          </cell>
          <cell r="Y129">
            <v>0</v>
          </cell>
          <cell r="Z129">
            <v>0</v>
          </cell>
        </row>
        <row r="130">
          <cell r="C130">
            <v>2319</v>
          </cell>
          <cell r="D130" t="str">
            <v>Waterthorpe Infant School</v>
          </cell>
          <cell r="E130">
            <v>124</v>
          </cell>
          <cell r="F130">
            <v>134</v>
          </cell>
          <cell r="G130">
            <v>10</v>
          </cell>
          <cell r="H130">
            <v>669720.14415657171</v>
          </cell>
          <cell r="I130">
            <v>16966</v>
          </cell>
          <cell r="J130">
            <v>128000</v>
          </cell>
          <cell r="K130">
            <v>-19023</v>
          </cell>
          <cell r="L130">
            <v>543777.14415657171</v>
          </cell>
          <cell r="M130">
            <v>4385.2995496497715</v>
          </cell>
          <cell r="N130">
            <v>601122.93296202982</v>
          </cell>
          <cell r="O130">
            <v>4485.9920370300733</v>
          </cell>
          <cell r="P130">
            <v>2.2961370424135236E-2</v>
          </cell>
          <cell r="Q130">
            <v>0</v>
          </cell>
          <cell r="R130">
            <v>0</v>
          </cell>
          <cell r="S130">
            <v>5571.1263653882825</v>
          </cell>
          <cell r="T130">
            <v>4385.2995496497715</v>
          </cell>
          <cell r="U130">
            <v>4485.9920370300733</v>
          </cell>
          <cell r="V130">
            <v>100.69248738030183</v>
          </cell>
          <cell r="W130">
            <v>2.2961370424135237</v>
          </cell>
          <cell r="X130">
            <v>0</v>
          </cell>
          <cell r="Y130">
            <v>0</v>
          </cell>
          <cell r="Z130">
            <v>0</v>
          </cell>
        </row>
        <row r="131">
          <cell r="C131">
            <v>2352</v>
          </cell>
          <cell r="D131" t="str">
            <v>Westways Primary School</v>
          </cell>
          <cell r="E131">
            <v>572</v>
          </cell>
          <cell r="F131">
            <v>580</v>
          </cell>
          <cell r="G131">
            <v>8</v>
          </cell>
          <cell r="H131">
            <v>2471944</v>
          </cell>
          <cell r="I131">
            <v>31744</v>
          </cell>
          <cell r="J131">
            <v>128000</v>
          </cell>
          <cell r="K131">
            <v>-67664</v>
          </cell>
          <cell r="L131">
            <v>2379864</v>
          </cell>
          <cell r="M131">
            <v>4160.6013986013986</v>
          </cell>
          <cell r="N131">
            <v>2426900.0000000009</v>
          </cell>
          <cell r="O131">
            <v>4184.3103448275879</v>
          </cell>
          <cell r="P131">
            <v>5.6984421132385103E-3</v>
          </cell>
          <cell r="Q131">
            <v>0</v>
          </cell>
          <cell r="R131">
            <v>0</v>
          </cell>
          <cell r="S131">
            <v>4459.7310344827602</v>
          </cell>
          <cell r="T131">
            <v>4160.6013986013986</v>
          </cell>
          <cell r="U131">
            <v>4184.3103448275879</v>
          </cell>
          <cell r="V131">
            <v>23.708946226189255</v>
          </cell>
          <cell r="W131">
            <v>0.56984421132385099</v>
          </cell>
          <cell r="X131">
            <v>0</v>
          </cell>
          <cell r="Y131">
            <v>0</v>
          </cell>
          <cell r="Z131">
            <v>0</v>
          </cell>
        </row>
        <row r="132">
          <cell r="C132">
            <v>2311</v>
          </cell>
          <cell r="D132" t="str">
            <v>Wharncliffe Side Primary School</v>
          </cell>
          <cell r="E132">
            <v>141</v>
          </cell>
          <cell r="F132">
            <v>142</v>
          </cell>
          <cell r="G132">
            <v>1</v>
          </cell>
          <cell r="H132">
            <v>727142.65421112371</v>
          </cell>
          <cell r="I132">
            <v>3251.2</v>
          </cell>
          <cell r="J132">
            <v>129949.45327102803</v>
          </cell>
          <cell r="K132">
            <v>-20587</v>
          </cell>
          <cell r="L132">
            <v>614529.00094009563</v>
          </cell>
          <cell r="M132">
            <v>4358.3617087950042</v>
          </cell>
          <cell r="N132">
            <v>624869.25880024605</v>
          </cell>
          <cell r="O132">
            <v>4400.4877380299022</v>
          </cell>
          <cell r="P132">
            <v>9.6655651938867895E-3</v>
          </cell>
          <cell r="Q132">
            <v>0</v>
          </cell>
          <cell r="R132">
            <v>0</v>
          </cell>
          <cell r="S132">
            <v>5338.5190990934789</v>
          </cell>
          <cell r="T132">
            <v>4358.3617087950042</v>
          </cell>
          <cell r="U132">
            <v>4400.4877380299022</v>
          </cell>
          <cell r="V132">
            <v>42.126029234897942</v>
          </cell>
          <cell r="W132">
            <v>0.96655651938867893</v>
          </cell>
          <cell r="X132">
            <v>0</v>
          </cell>
          <cell r="Y132">
            <v>0</v>
          </cell>
          <cell r="Z132">
            <v>0</v>
          </cell>
        </row>
        <row r="133">
          <cell r="C133">
            <v>2040</v>
          </cell>
          <cell r="D133" t="str">
            <v>Whiteways Primary School</v>
          </cell>
          <cell r="E133">
            <v>408</v>
          </cell>
          <cell r="F133">
            <v>406</v>
          </cell>
          <cell r="G133">
            <v>-2</v>
          </cell>
          <cell r="H133">
            <v>2171400.4519624007</v>
          </cell>
          <cell r="I133">
            <v>7270.4</v>
          </cell>
          <cell r="J133">
            <v>128000</v>
          </cell>
          <cell r="K133">
            <v>-61106</v>
          </cell>
          <cell r="L133">
            <v>2097236.0519624008</v>
          </cell>
          <cell r="M133">
            <v>5140.2844410843154</v>
          </cell>
          <cell r="N133">
            <v>2184062.2464535562</v>
          </cell>
          <cell r="O133">
            <v>5379.4636612156555</v>
          </cell>
          <cell r="P133">
            <v>4.6530347274106598E-2</v>
          </cell>
          <cell r="Q133">
            <v>0</v>
          </cell>
          <cell r="R133">
            <v>0</v>
          </cell>
          <cell r="S133">
            <v>5712.6410011171338</v>
          </cell>
          <cell r="T133">
            <v>5140.2844410843154</v>
          </cell>
          <cell r="U133">
            <v>5379.4636612156555</v>
          </cell>
          <cell r="V133">
            <v>239.17922013134012</v>
          </cell>
          <cell r="W133">
            <v>4.6530347274106596</v>
          </cell>
          <cell r="X133">
            <v>0</v>
          </cell>
          <cell r="Y133">
            <v>0</v>
          </cell>
          <cell r="Z133">
            <v>0</v>
          </cell>
        </row>
        <row r="134">
          <cell r="C134">
            <v>2027</v>
          </cell>
          <cell r="D134" t="str">
            <v>Wincobank Nursery and Infant School</v>
          </cell>
          <cell r="E134">
            <v>122</v>
          </cell>
          <cell r="F134">
            <v>137</v>
          </cell>
          <cell r="G134">
            <v>15</v>
          </cell>
          <cell r="H134">
            <v>695992.249934347</v>
          </cell>
          <cell r="I134">
            <v>2406.3999999999996</v>
          </cell>
          <cell r="J134">
            <v>128000</v>
          </cell>
          <cell r="K134">
            <v>-21209</v>
          </cell>
          <cell r="L134">
            <v>586794.84993434697</v>
          </cell>
          <cell r="M134">
            <v>4809.7938519208765</v>
          </cell>
          <cell r="N134">
            <v>646912.29743896681</v>
          </cell>
          <cell r="O134">
            <v>4721.9875725472029</v>
          </cell>
          <cell r="P134">
            <v>-1.8255726144813158E-2</v>
          </cell>
          <cell r="Q134">
            <v>2.3255726144813159E-2</v>
          </cell>
          <cell r="R134">
            <v>15324.169062759076</v>
          </cell>
          <cell r="S134">
            <v>5785.711434319167</v>
          </cell>
          <cell r="T134">
            <v>4809.7938519208765</v>
          </cell>
          <cell r="U134">
            <v>4833.8428211804803</v>
          </cell>
          <cell r="V134">
            <v>24.048969259603837</v>
          </cell>
          <cell r="W134">
            <v>0.49999999999998868</v>
          </cell>
          <cell r="X134">
            <v>0</v>
          </cell>
          <cell r="Y134">
            <v>0</v>
          </cell>
          <cell r="Z134">
            <v>0</v>
          </cell>
        </row>
        <row r="135">
          <cell r="C135">
            <v>2361</v>
          </cell>
          <cell r="D135" t="str">
            <v>Windmill Hill Primary School</v>
          </cell>
          <cell r="E135">
            <v>317</v>
          </cell>
          <cell r="F135">
            <v>315</v>
          </cell>
          <cell r="G135">
            <v>-2</v>
          </cell>
          <cell r="H135">
            <v>1371673.6473145748</v>
          </cell>
          <cell r="I135">
            <v>4428.8</v>
          </cell>
          <cell r="J135">
            <v>128000</v>
          </cell>
          <cell r="K135">
            <v>-39019</v>
          </cell>
          <cell r="L135">
            <v>1278263.8473145748</v>
          </cell>
          <cell r="M135">
            <v>4032.3780672384059</v>
          </cell>
          <cell r="N135">
            <v>1267242.9874281092</v>
          </cell>
          <cell r="O135">
            <v>4022.9936108828861</v>
          </cell>
          <cell r="P135">
            <v>-2.3272759148665043E-3</v>
          </cell>
          <cell r="Q135">
            <v>7.3272759148665049E-3</v>
          </cell>
          <cell r="R135">
            <v>9307.0992078892559</v>
          </cell>
          <cell r="S135">
            <v>4472.9494813841238</v>
          </cell>
          <cell r="T135">
            <v>4032.3780672384059</v>
          </cell>
          <cell r="U135">
            <v>4052.5399575745982</v>
          </cell>
          <cell r="V135">
            <v>20.1618903361923</v>
          </cell>
          <cell r="W135">
            <v>0.50000000000000666</v>
          </cell>
          <cell r="X135">
            <v>0</v>
          </cell>
          <cell r="Y135">
            <v>0</v>
          </cell>
          <cell r="Z135">
            <v>0</v>
          </cell>
        </row>
        <row r="136">
          <cell r="C136">
            <v>2043</v>
          </cell>
          <cell r="D136" t="str">
            <v>Wisewood Community Primary School</v>
          </cell>
          <cell r="E136">
            <v>153</v>
          </cell>
          <cell r="F136">
            <v>156</v>
          </cell>
          <cell r="G136">
            <v>3</v>
          </cell>
          <cell r="H136">
            <v>811808.68595533981</v>
          </cell>
          <cell r="I136">
            <v>2508.8000000000002</v>
          </cell>
          <cell r="J136">
            <v>128000</v>
          </cell>
          <cell r="K136">
            <v>-26001</v>
          </cell>
          <cell r="L136">
            <v>707300.88595533976</v>
          </cell>
          <cell r="M136">
            <v>4622.8816075512404</v>
          </cell>
          <cell r="N136">
            <v>728287.86817749753</v>
          </cell>
          <cell r="O136">
            <v>4668.5119754967791</v>
          </cell>
          <cell r="P136">
            <v>9.8705465160526216E-3</v>
          </cell>
          <cell r="Q136">
            <v>0</v>
          </cell>
          <cell r="R136">
            <v>0</v>
          </cell>
          <cell r="S136">
            <v>5505.1081293429324</v>
          </cell>
          <cell r="T136">
            <v>4622.8816075512404</v>
          </cell>
          <cell r="U136">
            <v>4668.5119754967791</v>
          </cell>
          <cell r="V136">
            <v>45.630367945538637</v>
          </cell>
          <cell r="W136">
            <v>0.98705465160526218</v>
          </cell>
          <cell r="X136">
            <v>0</v>
          </cell>
          <cell r="Y136">
            <v>0</v>
          </cell>
          <cell r="Z136">
            <v>0</v>
          </cell>
        </row>
        <row r="137">
          <cell r="C137">
            <v>2139</v>
          </cell>
          <cell r="D137" t="str">
            <v>Woodhouse West Primary School</v>
          </cell>
          <cell r="E137">
            <v>343</v>
          </cell>
          <cell r="F137">
            <v>360</v>
          </cell>
          <cell r="G137">
            <v>17</v>
          </cell>
          <cell r="H137">
            <v>1708703.5239642556</v>
          </cell>
          <cell r="I137">
            <v>5375.38</v>
          </cell>
          <cell r="J137">
            <v>128000</v>
          </cell>
          <cell r="K137">
            <v>-52421</v>
          </cell>
          <cell r="L137">
            <v>1627749.1439642557</v>
          </cell>
          <cell r="M137">
            <v>4745.6243264264012</v>
          </cell>
          <cell r="N137">
            <v>1748950.1672276908</v>
          </cell>
          <cell r="O137">
            <v>4858.1949089658074</v>
          </cell>
          <cell r="P137">
            <v>2.3720921589293856E-2</v>
          </cell>
          <cell r="Q137">
            <v>0</v>
          </cell>
          <cell r="R137">
            <v>0</v>
          </cell>
          <cell r="S137">
            <v>5228.1143534102521</v>
          </cell>
          <cell r="T137">
            <v>4745.6243264264012</v>
          </cell>
          <cell r="U137">
            <v>4858.1949089658074</v>
          </cell>
          <cell r="V137">
            <v>112.57058253940613</v>
          </cell>
          <cell r="W137">
            <v>2.3720921589293855</v>
          </cell>
          <cell r="X137">
            <v>0</v>
          </cell>
          <cell r="Y137">
            <v>0</v>
          </cell>
          <cell r="Z137">
            <v>0</v>
          </cell>
        </row>
        <row r="138">
          <cell r="C138">
            <v>2034</v>
          </cell>
          <cell r="D138" t="str">
            <v>Woodlands Primary School</v>
          </cell>
          <cell r="E138">
            <v>354</v>
          </cell>
          <cell r="F138">
            <v>395</v>
          </cell>
          <cell r="G138">
            <v>41</v>
          </cell>
          <cell r="H138">
            <v>1837206.594819898</v>
          </cell>
          <cell r="I138">
            <v>10240</v>
          </cell>
          <cell r="J138">
            <v>128000</v>
          </cell>
          <cell r="K138">
            <v>-58078</v>
          </cell>
          <cell r="L138">
            <v>1757044.594819898</v>
          </cell>
          <cell r="M138">
            <v>4963.4028102257007</v>
          </cell>
          <cell r="N138">
            <v>2028175.4733020924</v>
          </cell>
          <cell r="O138">
            <v>5134.621451397702</v>
          </cell>
          <cell r="P138">
            <v>3.4496221185041288E-2</v>
          </cell>
          <cell r="Q138">
            <v>0</v>
          </cell>
          <cell r="R138">
            <v>0</v>
          </cell>
          <cell r="S138">
            <v>5484.5961349420058</v>
          </cell>
          <cell r="T138">
            <v>4963.4028102257007</v>
          </cell>
          <cell r="U138">
            <v>5134.621451397702</v>
          </cell>
          <cell r="V138">
            <v>171.2186411720013</v>
          </cell>
          <cell r="W138">
            <v>3.4496221185041289</v>
          </cell>
          <cell r="X138">
            <v>0</v>
          </cell>
          <cell r="Y138">
            <v>0</v>
          </cell>
          <cell r="Z138">
            <v>0</v>
          </cell>
        </row>
        <row r="139">
          <cell r="C139">
            <v>2324</v>
          </cell>
          <cell r="D139" t="str">
            <v>Woodseats Primary School</v>
          </cell>
          <cell r="E139">
            <v>375</v>
          </cell>
          <cell r="F139">
            <v>363</v>
          </cell>
          <cell r="G139">
            <v>-12</v>
          </cell>
          <cell r="H139">
            <v>1686658.8009336705</v>
          </cell>
          <cell r="I139">
            <v>5017.6000000000004</v>
          </cell>
          <cell r="J139">
            <v>128000</v>
          </cell>
          <cell r="K139">
            <v>-51020</v>
          </cell>
          <cell r="L139">
            <v>1604661.2009336704</v>
          </cell>
          <cell r="M139">
            <v>4279.0965358231215</v>
          </cell>
          <cell r="N139">
            <v>1576567.823537943</v>
          </cell>
          <cell r="O139">
            <v>4343.1620483138922</v>
          </cell>
          <cell r="P139">
            <v>1.4971738065368789E-2</v>
          </cell>
          <cell r="Q139">
            <v>0</v>
          </cell>
          <cell r="R139">
            <v>0</v>
          </cell>
          <cell r="S139">
            <v>4709.1069518951599</v>
          </cell>
          <cell r="T139">
            <v>4279.0965358231215</v>
          </cell>
          <cell r="U139">
            <v>4343.1620483138922</v>
          </cell>
          <cell r="V139">
            <v>64.065512490770743</v>
          </cell>
          <cell r="W139">
            <v>1.4971738065368789</v>
          </cell>
          <cell r="X139">
            <v>0</v>
          </cell>
          <cell r="Y139">
            <v>0</v>
          </cell>
          <cell r="Z139">
            <v>0</v>
          </cell>
        </row>
        <row r="140">
          <cell r="C140">
            <v>2327</v>
          </cell>
          <cell r="D140" t="str">
            <v>Woodthorpe Primary School</v>
          </cell>
          <cell r="E140">
            <v>396</v>
          </cell>
          <cell r="F140">
            <v>406</v>
          </cell>
          <cell r="G140">
            <v>10</v>
          </cell>
          <cell r="H140">
            <v>2051619.2377456888</v>
          </cell>
          <cell r="I140">
            <v>48848</v>
          </cell>
          <cell r="J140">
            <v>128000</v>
          </cell>
          <cell r="K140">
            <v>-63342</v>
          </cell>
          <cell r="L140">
            <v>1938113.2377456888</v>
          </cell>
          <cell r="M140">
            <v>4894.2253478426483</v>
          </cell>
          <cell r="N140">
            <v>2037947.9502295079</v>
          </cell>
          <cell r="O140">
            <v>5019.5762320923841</v>
          </cell>
          <cell r="P140">
            <v>2.5611996861768925E-2</v>
          </cell>
          <cell r="Q140">
            <v>0</v>
          </cell>
          <cell r="R140">
            <v>0</v>
          </cell>
          <cell r="S140">
            <v>5358.0516015505118</v>
          </cell>
          <cell r="T140">
            <v>4894.2253478426483</v>
          </cell>
          <cell r="U140">
            <v>5019.5762320923841</v>
          </cell>
          <cell r="V140">
            <v>125.35088424973583</v>
          </cell>
          <cell r="W140">
            <v>2.5611996861768924</v>
          </cell>
          <cell r="X140">
            <v>0</v>
          </cell>
          <cell r="Y140">
            <v>0</v>
          </cell>
          <cell r="Z140">
            <v>0</v>
          </cell>
        </row>
        <row r="141">
          <cell r="C141">
            <v>2321</v>
          </cell>
          <cell r="D141" t="str">
            <v>Wybourn Community Primary &amp; Nursery School</v>
          </cell>
          <cell r="E141">
            <v>413</v>
          </cell>
          <cell r="F141">
            <v>424</v>
          </cell>
          <cell r="G141">
            <v>11</v>
          </cell>
          <cell r="H141">
            <v>2186390.3927434315</v>
          </cell>
          <cell r="I141">
            <v>7859.2</v>
          </cell>
          <cell r="J141">
            <v>128000</v>
          </cell>
          <cell r="K141">
            <v>-67541</v>
          </cell>
          <cell r="L141">
            <v>2118072.1927434313</v>
          </cell>
          <cell r="M141">
            <v>5128.5040986523763</v>
          </cell>
          <cell r="N141">
            <v>2248345.2360101808</v>
          </cell>
          <cell r="O141">
            <v>5302.7010283258978</v>
          </cell>
          <cell r="P141">
            <v>3.3966421069897446E-2</v>
          </cell>
          <cell r="Q141">
            <v>0</v>
          </cell>
          <cell r="R141">
            <v>0</v>
          </cell>
          <cell r="S141">
            <v>5623.1231981372184</v>
          </cell>
          <cell r="T141">
            <v>5128.5040986523763</v>
          </cell>
          <cell r="U141">
            <v>5302.7010283258978</v>
          </cell>
          <cell r="V141">
            <v>174.19692967352148</v>
          </cell>
          <cell r="W141">
            <v>3.3966421069897446</v>
          </cell>
          <cell r="X141">
            <v>0</v>
          </cell>
          <cell r="Y141">
            <v>0</v>
          </cell>
          <cell r="Z141">
            <v>0</v>
          </cell>
        </row>
        <row r="142">
          <cell r="C142">
            <v>0</v>
          </cell>
          <cell r="D142">
            <v>0</v>
          </cell>
          <cell r="E142"/>
          <cell r="F142"/>
          <cell r="G142"/>
          <cell r="Q142"/>
          <cell r="W142"/>
          <cell r="Y142"/>
        </row>
        <row r="143">
          <cell r="C143">
            <v>0</v>
          </cell>
          <cell r="D143" t="str">
            <v>Total Primary</v>
          </cell>
          <cell r="E143">
            <v>43067</v>
          </cell>
          <cell r="F143">
            <v>43411</v>
          </cell>
          <cell r="G143">
            <v>344</v>
          </cell>
          <cell r="H143">
            <v>206358983.98675981</v>
          </cell>
          <cell r="I143">
            <v>2405906.4516217252</v>
          </cell>
          <cell r="J143">
            <v>17035570.815086782</v>
          </cell>
          <cell r="K143">
            <v>-5901394</v>
          </cell>
          <cell r="L143">
            <v>192818900.72005126</v>
          </cell>
          <cell r="M143">
            <v>4477.1844038370737</v>
          </cell>
          <cell r="N143">
            <v>196747080.31940478</v>
          </cell>
          <cell r="O143">
            <v>4532.1941516989882</v>
          </cell>
          <cell r="Q143"/>
          <cell r="R143">
            <v>782379.5610918476</v>
          </cell>
          <cell r="S143">
            <v>0</v>
          </cell>
          <cell r="T143">
            <v>4477.1844038370737</v>
          </cell>
          <cell r="U143">
            <v>4550.216762583138</v>
          </cell>
          <cell r="V143">
            <v>73.032358746064347</v>
          </cell>
          <cell r="W143">
            <v>1.6312117652217664</v>
          </cell>
          <cell r="X143"/>
          <cell r="Y143">
            <v>0</v>
          </cell>
          <cell r="Z143">
            <v>0</v>
          </cell>
        </row>
        <row r="144">
          <cell r="C144">
            <v>0</v>
          </cell>
          <cell r="D144">
            <v>0</v>
          </cell>
          <cell r="E144"/>
          <cell r="F144"/>
          <cell r="G144"/>
          <cell r="Q144"/>
          <cell r="W144"/>
          <cell r="Y144"/>
        </row>
        <row r="145">
          <cell r="C145">
            <v>0</v>
          </cell>
          <cell r="D145" t="str">
            <v>Secondary</v>
          </cell>
          <cell r="E145"/>
          <cell r="F145"/>
          <cell r="G145"/>
          <cell r="Q145"/>
          <cell r="W145"/>
          <cell r="Y145"/>
        </row>
        <row r="146">
          <cell r="C146">
            <v>0</v>
          </cell>
          <cell r="D146">
            <v>0</v>
          </cell>
          <cell r="E146"/>
          <cell r="F146"/>
          <cell r="G146"/>
          <cell r="Q146"/>
          <cell r="W146"/>
          <cell r="Y146">
            <v>5715</v>
          </cell>
        </row>
        <row r="147">
          <cell r="C147">
            <v>5401</v>
          </cell>
          <cell r="D147" t="str">
            <v>All Saints' Catholic High School</v>
          </cell>
          <cell r="E147">
            <v>1023</v>
          </cell>
          <cell r="F147">
            <v>1034</v>
          </cell>
          <cell r="G147">
            <v>11</v>
          </cell>
          <cell r="H147">
            <v>6020686.0455373386</v>
          </cell>
          <cell r="I147">
            <v>34816</v>
          </cell>
          <cell r="J147">
            <v>128000</v>
          </cell>
          <cell r="K147">
            <v>-184069</v>
          </cell>
          <cell r="L147">
            <v>6041939.0455373386</v>
          </cell>
          <cell r="M147">
            <v>5906.0987737412888</v>
          </cell>
          <cell r="N147">
            <v>6380904.9065458486</v>
          </cell>
          <cell r="O147">
            <v>6171.0879173557532</v>
          </cell>
          <cell r="P147">
            <v>4.4867035545124126E-2</v>
          </cell>
          <cell r="Q147">
            <v>0</v>
          </cell>
          <cell r="R147">
            <v>0</v>
          </cell>
          <cell r="S147">
            <v>6328.550199754206</v>
          </cell>
          <cell r="T147">
            <v>5906.0987737412888</v>
          </cell>
          <cell r="U147">
            <v>6171.0879173557532</v>
          </cell>
          <cell r="V147">
            <v>264.98914361446441</v>
          </cell>
          <cell r="W147">
            <v>4.4867035545124123</v>
          </cell>
          <cell r="X147">
            <v>0</v>
          </cell>
          <cell r="Y147">
            <v>0</v>
          </cell>
          <cell r="Z147">
            <v>0</v>
          </cell>
        </row>
        <row r="148">
          <cell r="C148">
            <v>4017</v>
          </cell>
          <cell r="D148" t="str">
            <v>Bradfield School</v>
          </cell>
          <cell r="E148">
            <v>1081</v>
          </cell>
          <cell r="F148">
            <v>1065</v>
          </cell>
          <cell r="G148">
            <v>-16</v>
          </cell>
          <cell r="H148">
            <v>6434185.6524712406</v>
          </cell>
          <cell r="I148">
            <v>458890.65247123979</v>
          </cell>
          <cell r="J148">
            <v>128000</v>
          </cell>
          <cell r="K148">
            <v>-181315</v>
          </cell>
          <cell r="L148">
            <v>6028610.0000000009</v>
          </cell>
          <cell r="M148">
            <v>5576.8825161887153</v>
          </cell>
          <cell r="N148">
            <v>5968860.1434353534</v>
          </cell>
          <cell r="O148">
            <v>5604.5635149627733</v>
          </cell>
          <cell r="P148">
            <v>4.9635255348673604E-3</v>
          </cell>
          <cell r="Q148">
            <v>3.6474465132639751E-5</v>
          </cell>
          <cell r="R148">
            <v>216.63570433311452</v>
          </cell>
          <cell r="S148">
            <v>6306.9793073863739</v>
          </cell>
          <cell r="T148">
            <v>5576.8825161887153</v>
          </cell>
          <cell r="U148">
            <v>5604.766928769659</v>
          </cell>
          <cell r="V148">
            <v>27.884412580943717</v>
          </cell>
          <cell r="W148">
            <v>0.50000000000000255</v>
          </cell>
          <cell r="X148">
            <v>0</v>
          </cell>
          <cell r="Y148">
            <v>0</v>
          </cell>
          <cell r="Z148">
            <v>0</v>
          </cell>
        </row>
        <row r="149">
          <cell r="C149">
            <v>4000</v>
          </cell>
          <cell r="D149" t="str">
            <v>Chaucer School</v>
          </cell>
          <cell r="E149">
            <v>820</v>
          </cell>
          <cell r="F149">
            <v>842</v>
          </cell>
          <cell r="G149">
            <v>22</v>
          </cell>
          <cell r="H149">
            <v>5414998.8919078568</v>
          </cell>
          <cell r="I149">
            <v>17408</v>
          </cell>
          <cell r="J149">
            <v>128000</v>
          </cell>
          <cell r="K149">
            <v>-184262</v>
          </cell>
          <cell r="L149">
            <v>5453852.8919078568</v>
          </cell>
          <cell r="M149">
            <v>6651.0401120827519</v>
          </cell>
          <cell r="N149">
            <v>5892517.7554882066</v>
          </cell>
          <cell r="O149">
            <v>6998.2396145940693</v>
          </cell>
          <cell r="P149">
            <v>5.2202286658979871E-2</v>
          </cell>
          <cell r="Q149">
            <v>0</v>
          </cell>
          <cell r="R149">
            <v>0</v>
          </cell>
          <cell r="S149">
            <v>7170.9332012924069</v>
          </cell>
          <cell r="T149">
            <v>6651.0401120827519</v>
          </cell>
          <cell r="U149">
            <v>6998.2396145940693</v>
          </cell>
          <cell r="V149">
            <v>347.19950251131741</v>
          </cell>
          <cell r="W149">
            <v>5.2202286658979871</v>
          </cell>
          <cell r="X149">
            <v>0</v>
          </cell>
          <cell r="Y149">
            <v>0</v>
          </cell>
          <cell r="Z149">
            <v>0</v>
          </cell>
        </row>
        <row r="150">
          <cell r="C150">
            <v>4012</v>
          </cell>
          <cell r="D150" t="str">
            <v>Ecclesfield School</v>
          </cell>
          <cell r="E150">
            <v>1676</v>
          </cell>
          <cell r="F150">
            <v>1701</v>
          </cell>
          <cell r="G150">
            <v>25</v>
          </cell>
          <cell r="H150">
            <v>10296989.376331717</v>
          </cell>
          <cell r="I150">
            <v>704255.72346973035</v>
          </cell>
          <cell r="J150">
            <v>128000</v>
          </cell>
          <cell r="K150">
            <v>-303238</v>
          </cell>
          <cell r="L150">
            <v>9767971.6528619863</v>
          </cell>
          <cell r="M150">
            <v>5828.1453776026174</v>
          </cell>
          <cell r="N150">
            <v>10369205.704566266</v>
          </cell>
          <cell r="O150">
            <v>6095.9469162647065</v>
          </cell>
          <cell r="P150">
            <v>4.5949701201902435E-2</v>
          </cell>
          <cell r="Q150">
            <v>0</v>
          </cell>
          <cell r="R150">
            <v>0</v>
          </cell>
          <cell r="S150">
            <v>6700.554049516064</v>
          </cell>
          <cell r="T150">
            <v>5828.1453776026174</v>
          </cell>
          <cell r="U150">
            <v>6095.9469162647065</v>
          </cell>
          <cell r="V150">
            <v>267.80153866208911</v>
          </cell>
          <cell r="W150">
            <v>4.5949701201902435</v>
          </cell>
          <cell r="X150">
            <v>0</v>
          </cell>
          <cell r="Y150">
            <v>0</v>
          </cell>
          <cell r="Z150">
            <v>0</v>
          </cell>
        </row>
        <row r="151">
          <cell r="C151">
            <v>4280</v>
          </cell>
          <cell r="D151" t="str">
            <v>Fir Vale School</v>
          </cell>
          <cell r="E151">
            <v>986</v>
          </cell>
          <cell r="F151">
            <v>1025</v>
          </cell>
          <cell r="G151">
            <v>39</v>
          </cell>
          <cell r="H151">
            <v>7109459.8524381761</v>
          </cell>
          <cell r="I151">
            <v>418666.45306751441</v>
          </cell>
          <cell r="J151">
            <v>128000</v>
          </cell>
          <cell r="K151">
            <v>-225020</v>
          </cell>
          <cell r="L151">
            <v>6787813.3993706619</v>
          </cell>
          <cell r="M151">
            <v>6884.1920886112193</v>
          </cell>
          <cell r="N151">
            <v>7627627.2914879043</v>
          </cell>
          <cell r="O151">
            <v>7441.5876014516143</v>
          </cell>
          <cell r="P151">
            <v>8.0967454955609905E-2</v>
          </cell>
          <cell r="Q151">
            <v>0</v>
          </cell>
          <cell r="R151">
            <v>0</v>
          </cell>
          <cell r="S151">
            <v>8099.4594438410677</v>
          </cell>
          <cell r="T151">
            <v>6884.1920886112193</v>
          </cell>
          <cell r="U151">
            <v>7441.5876014516143</v>
          </cell>
          <cell r="V151">
            <v>557.39551284039499</v>
          </cell>
          <cell r="W151">
            <v>8.0967454955609899</v>
          </cell>
          <cell r="X151">
            <v>0</v>
          </cell>
          <cell r="Y151">
            <v>0</v>
          </cell>
          <cell r="Z151">
            <v>0</v>
          </cell>
        </row>
        <row r="152">
          <cell r="C152">
            <v>4003</v>
          </cell>
          <cell r="D152" t="str">
            <v>Firth Park Academy</v>
          </cell>
          <cell r="E152">
            <v>1142</v>
          </cell>
          <cell r="F152">
            <v>1166</v>
          </cell>
          <cell r="G152">
            <v>24</v>
          </cell>
          <cell r="H152">
            <v>7420215.0267447783</v>
          </cell>
          <cell r="I152">
            <v>20275.2</v>
          </cell>
          <cell r="J152">
            <v>128000</v>
          </cell>
          <cell r="K152">
            <v>-249398</v>
          </cell>
          <cell r="L152">
            <v>7521337.8267447781</v>
          </cell>
          <cell r="M152">
            <v>6586.1101810374594</v>
          </cell>
          <cell r="N152">
            <v>8051787.7032523453</v>
          </cell>
          <cell r="O152">
            <v>6905.4783046761113</v>
          </cell>
          <cell r="P152">
            <v>4.849116016281773E-2</v>
          </cell>
          <cell r="Q152">
            <v>0</v>
          </cell>
          <cell r="R152">
            <v>0</v>
          </cell>
          <cell r="S152">
            <v>7032.6438278322003</v>
          </cell>
          <cell r="T152">
            <v>6586.1101810374594</v>
          </cell>
          <cell r="U152">
            <v>6905.4783046761113</v>
          </cell>
          <cell r="V152">
            <v>319.36812363865192</v>
          </cell>
          <cell r="W152">
            <v>4.8491160162817728</v>
          </cell>
          <cell r="X152">
            <v>0</v>
          </cell>
          <cell r="Y152">
            <v>0</v>
          </cell>
          <cell r="Z152">
            <v>0</v>
          </cell>
        </row>
        <row r="153">
          <cell r="C153">
            <v>4007</v>
          </cell>
          <cell r="D153" t="str">
            <v>Forge Valley School</v>
          </cell>
          <cell r="E153">
            <v>1210</v>
          </cell>
          <cell r="F153">
            <v>1243</v>
          </cell>
          <cell r="G153">
            <v>33</v>
          </cell>
          <cell r="H153">
            <v>6795663.3216837635</v>
          </cell>
          <cell r="I153">
            <v>35072</v>
          </cell>
          <cell r="J153">
            <v>128000</v>
          </cell>
          <cell r="K153">
            <v>-218476</v>
          </cell>
          <cell r="L153">
            <v>6851067.3216837635</v>
          </cell>
          <cell r="M153">
            <v>5662.0391088295564</v>
          </cell>
          <cell r="N153">
            <v>7305737.2115293164</v>
          </cell>
          <cell r="O153">
            <v>5877.5037904499732</v>
          </cell>
          <cell r="P153">
            <v>3.8054255274290592E-2</v>
          </cell>
          <cell r="Q153">
            <v>0</v>
          </cell>
          <cell r="R153">
            <v>0</v>
          </cell>
          <cell r="S153">
            <v>6008.6960671997722</v>
          </cell>
          <cell r="T153">
            <v>5662.0391088295564</v>
          </cell>
          <cell r="U153">
            <v>5877.5037904499732</v>
          </cell>
          <cell r="V153">
            <v>215.46468162041674</v>
          </cell>
          <cell r="W153">
            <v>3.8054255274290592</v>
          </cell>
          <cell r="X153">
            <v>0</v>
          </cell>
          <cell r="Y153">
            <v>0</v>
          </cell>
          <cell r="Z153">
            <v>0</v>
          </cell>
        </row>
        <row r="154">
          <cell r="C154">
            <v>4278</v>
          </cell>
          <cell r="D154" t="str">
            <v>Handsworth Grange Community Sports College</v>
          </cell>
          <cell r="E154">
            <v>1015</v>
          </cell>
          <cell r="F154">
            <v>1015</v>
          </cell>
          <cell r="G154">
            <v>0</v>
          </cell>
          <cell r="H154">
            <v>5987057.5536072254</v>
          </cell>
          <cell r="I154">
            <v>26112</v>
          </cell>
          <cell r="J154">
            <v>128000</v>
          </cell>
          <cell r="K154">
            <v>-191529</v>
          </cell>
          <cell r="L154">
            <v>6024474.5536072254</v>
          </cell>
          <cell r="M154">
            <v>5935.4429099578574</v>
          </cell>
          <cell r="N154">
            <v>6228614.7906334186</v>
          </cell>
          <cell r="O154">
            <v>6136.56629619056</v>
          </cell>
          <cell r="P154">
            <v>3.3885152175464298E-2</v>
          </cell>
          <cell r="Q154">
            <v>0</v>
          </cell>
          <cell r="R154">
            <v>0</v>
          </cell>
          <cell r="S154">
            <v>6288.4007789491807</v>
          </cell>
          <cell r="T154">
            <v>5935.4429099578574</v>
          </cell>
          <cell r="U154">
            <v>6136.56629619056</v>
          </cell>
          <cell r="V154">
            <v>201.12338623270261</v>
          </cell>
          <cell r="W154">
            <v>3.3885152175464297</v>
          </cell>
          <cell r="X154">
            <v>0</v>
          </cell>
          <cell r="Y154">
            <v>0</v>
          </cell>
          <cell r="Z154">
            <v>0</v>
          </cell>
        </row>
        <row r="155">
          <cell r="C155">
            <v>4257</v>
          </cell>
          <cell r="D155" t="str">
            <v>High Storrs School</v>
          </cell>
          <cell r="E155">
            <v>1206</v>
          </cell>
          <cell r="F155">
            <v>1214</v>
          </cell>
          <cell r="G155">
            <v>8</v>
          </cell>
          <cell r="H155">
            <v>6700407.9999999991</v>
          </cell>
          <cell r="I155">
            <v>37120</v>
          </cell>
          <cell r="J155">
            <v>128000</v>
          </cell>
          <cell r="K155">
            <v>-191164</v>
          </cell>
          <cell r="L155">
            <v>6726451.9999999991</v>
          </cell>
          <cell r="M155">
            <v>5577.4892205638471</v>
          </cell>
          <cell r="N155">
            <v>6810009.9999999991</v>
          </cell>
          <cell r="O155">
            <v>5609.5634266886318</v>
          </cell>
          <cell r="P155">
            <v>5.7506531803825228E-3</v>
          </cell>
          <cell r="Q155">
            <v>0</v>
          </cell>
          <cell r="R155">
            <v>0</v>
          </cell>
          <cell r="S155">
            <v>5745.5766062602961</v>
          </cell>
          <cell r="T155">
            <v>5577.4892205638471</v>
          </cell>
          <cell r="U155">
            <v>5609.5634266886318</v>
          </cell>
          <cell r="V155">
            <v>32.074206124784723</v>
          </cell>
          <cell r="W155">
            <v>0.57506531803825234</v>
          </cell>
          <cell r="X155">
            <v>0</v>
          </cell>
          <cell r="Y155">
            <v>0</v>
          </cell>
          <cell r="Z155">
            <v>0</v>
          </cell>
        </row>
        <row r="156">
          <cell r="C156">
            <v>4230</v>
          </cell>
          <cell r="D156" t="str">
            <v>King Ecgbert School</v>
          </cell>
          <cell r="E156">
            <v>1034</v>
          </cell>
          <cell r="F156">
            <v>1030</v>
          </cell>
          <cell r="G156">
            <v>-4</v>
          </cell>
          <cell r="H156">
            <v>6384879.7839946616</v>
          </cell>
          <cell r="I156">
            <v>672029.78399466234</v>
          </cell>
          <cell r="J156">
            <v>128000</v>
          </cell>
          <cell r="K156">
            <v>-177818</v>
          </cell>
          <cell r="L156">
            <v>5762667.9999999991</v>
          </cell>
          <cell r="M156">
            <v>5573.1798839458406</v>
          </cell>
          <cell r="N156">
            <v>5899616.1405973593</v>
          </cell>
          <cell r="O156">
            <v>5727.7826607741354</v>
          </cell>
          <cell r="P156">
            <v>2.7740496457622887E-2</v>
          </cell>
          <cell r="Q156">
            <v>0</v>
          </cell>
          <cell r="R156">
            <v>0</v>
          </cell>
          <cell r="S156">
            <v>6671.2654751188957</v>
          </cell>
          <cell r="T156">
            <v>5573.1798839458406</v>
          </cell>
          <cell r="U156">
            <v>5727.7826607741354</v>
          </cell>
          <cell r="V156">
            <v>154.60277682829474</v>
          </cell>
          <cell r="W156">
            <v>2.7740496457622887</v>
          </cell>
          <cell r="X156">
            <v>0</v>
          </cell>
          <cell r="Y156">
            <v>0</v>
          </cell>
          <cell r="Z156">
            <v>0</v>
          </cell>
        </row>
        <row r="157">
          <cell r="C157">
            <v>4259</v>
          </cell>
          <cell r="D157" t="str">
            <v>King Edward VII School</v>
          </cell>
          <cell r="E157">
            <v>1135</v>
          </cell>
          <cell r="F157">
            <v>1141</v>
          </cell>
          <cell r="G157">
            <v>6</v>
          </cell>
          <cell r="H157">
            <v>7610434.6360058645</v>
          </cell>
          <cell r="I157">
            <v>716255.27812538412</v>
          </cell>
          <cell r="J157">
            <v>128000</v>
          </cell>
          <cell r="K157">
            <v>-212517</v>
          </cell>
          <cell r="L157">
            <v>6978696.3578804806</v>
          </cell>
          <cell r="M157">
            <v>6148.6311523176037</v>
          </cell>
          <cell r="N157">
            <v>7276415.4802725147</v>
          </cell>
          <cell r="O157">
            <v>6377.2265383632912</v>
          </cell>
          <cell r="P157">
            <v>3.7178256490393483E-2</v>
          </cell>
          <cell r="Q157">
            <v>0</v>
          </cell>
          <cell r="R157">
            <v>0</v>
          </cell>
          <cell r="S157">
            <v>7228.7639868748875</v>
          </cell>
          <cell r="T157">
            <v>6148.6311523176037</v>
          </cell>
          <cell r="U157">
            <v>6377.2265383632912</v>
          </cell>
          <cell r="V157">
            <v>228.59538604568752</v>
          </cell>
          <cell r="W157">
            <v>3.7178256490393484</v>
          </cell>
          <cell r="X157">
            <v>0</v>
          </cell>
          <cell r="Y157">
            <v>0</v>
          </cell>
          <cell r="Z157">
            <v>0</v>
          </cell>
        </row>
        <row r="158">
          <cell r="C158">
            <v>4279</v>
          </cell>
          <cell r="D158" t="str">
            <v>Meadowhead School Academy Trust</v>
          </cell>
          <cell r="E158">
            <v>1623</v>
          </cell>
          <cell r="F158">
            <v>1640</v>
          </cell>
          <cell r="G158">
            <v>17</v>
          </cell>
          <cell r="H158">
            <v>10060046.390708793</v>
          </cell>
          <cell r="I158">
            <v>732380.83220281929</v>
          </cell>
          <cell r="J158">
            <v>128000</v>
          </cell>
          <cell r="K158">
            <v>-300511</v>
          </cell>
          <cell r="L158">
            <v>9500176.5585059728</v>
          </cell>
          <cell r="M158">
            <v>5853.466764329004</v>
          </cell>
          <cell r="N158">
            <v>10041219.222596116</v>
          </cell>
          <cell r="O158">
            <v>6122.6946479244616</v>
          </cell>
          <cell r="P158">
            <v>4.5994603614413751E-2</v>
          </cell>
          <cell r="Q158">
            <v>0</v>
          </cell>
          <cell r="R158">
            <v>0</v>
          </cell>
          <cell r="S158">
            <v>6770.2202177437848</v>
          </cell>
          <cell r="T158">
            <v>5853.466764329004</v>
          </cell>
          <cell r="U158">
            <v>6122.6946479244616</v>
          </cell>
          <cell r="V158">
            <v>269.22788359545757</v>
          </cell>
          <cell r="W158">
            <v>4.5994603614413752</v>
          </cell>
          <cell r="X158">
            <v>0</v>
          </cell>
          <cell r="Y158">
            <v>0</v>
          </cell>
          <cell r="Z158">
            <v>0</v>
          </cell>
        </row>
        <row r="159">
          <cell r="C159">
            <v>4015</v>
          </cell>
          <cell r="D159" t="str">
            <v>Mercia School</v>
          </cell>
          <cell r="E159">
            <v>716</v>
          </cell>
          <cell r="F159">
            <v>786</v>
          </cell>
          <cell r="G159">
            <v>70</v>
          </cell>
          <cell r="H159">
            <v>3965502.4748612228</v>
          </cell>
          <cell r="I159">
            <v>8243.2000000000007</v>
          </cell>
          <cell r="J159">
            <v>128000</v>
          </cell>
          <cell r="K159">
            <v>-125473.9967</v>
          </cell>
          <cell r="L159">
            <v>3954733.2715612226</v>
          </cell>
          <cell r="M159">
            <v>5523.3704910072938</v>
          </cell>
          <cell r="N159">
            <v>4500220.6174861956</v>
          </cell>
          <cell r="O159">
            <v>5725.4715235193325</v>
          </cell>
          <cell r="P159">
            <v>3.6590164074831358E-2</v>
          </cell>
          <cell r="Q159">
            <v>0</v>
          </cell>
          <cell r="R159">
            <v>0</v>
          </cell>
          <cell r="S159">
            <v>5898.8086736465593</v>
          </cell>
          <cell r="T159">
            <v>5523.3704910072938</v>
          </cell>
          <cell r="U159">
            <v>5725.4715235193325</v>
          </cell>
          <cell r="V159">
            <v>202.10103251203873</v>
          </cell>
          <cell r="W159">
            <v>3.6590164074831359</v>
          </cell>
          <cell r="X159">
            <v>0</v>
          </cell>
          <cell r="Y159">
            <v>0</v>
          </cell>
          <cell r="Z159">
            <v>0</v>
          </cell>
        </row>
        <row r="160">
          <cell r="C160">
            <v>4008</v>
          </cell>
          <cell r="D160" t="str">
            <v>Newfield Secondary School</v>
          </cell>
          <cell r="E160">
            <v>1032</v>
          </cell>
          <cell r="F160">
            <v>1055</v>
          </cell>
          <cell r="G160">
            <v>23</v>
          </cell>
          <cell r="H160">
            <v>6820183.6504274486</v>
          </cell>
          <cell r="I160">
            <v>605016.30012562661</v>
          </cell>
          <cell r="J160">
            <v>128000</v>
          </cell>
          <cell r="K160">
            <v>-206136</v>
          </cell>
          <cell r="L160">
            <v>6293303.3503018217</v>
          </cell>
          <cell r="M160">
            <v>6098.1621611451765</v>
          </cell>
          <cell r="N160">
            <v>6655478.2216856126</v>
          </cell>
          <cell r="O160">
            <v>6308.5101627351778</v>
          </cell>
          <cell r="P160">
            <v>3.449367137696778E-2</v>
          </cell>
          <cell r="Q160">
            <v>0</v>
          </cell>
          <cell r="R160">
            <v>0</v>
          </cell>
          <cell r="S160">
            <v>7254.1460943353786</v>
          </cell>
          <cell r="T160">
            <v>6098.1621611451765</v>
          </cell>
          <cell r="U160">
            <v>6308.5101627351778</v>
          </cell>
          <cell r="V160">
            <v>210.34800159000133</v>
          </cell>
          <cell r="W160">
            <v>3.4493671376967781</v>
          </cell>
          <cell r="X160">
            <v>0</v>
          </cell>
          <cell r="Y160">
            <v>0</v>
          </cell>
          <cell r="Z160">
            <v>0</v>
          </cell>
        </row>
        <row r="161">
          <cell r="C161">
            <v>5400</v>
          </cell>
          <cell r="D161" t="str">
            <v>Notre Dame High School</v>
          </cell>
          <cell r="E161">
            <v>1066</v>
          </cell>
          <cell r="F161">
            <v>1067</v>
          </cell>
          <cell r="G161">
            <v>1</v>
          </cell>
          <cell r="H161">
            <v>5912792</v>
          </cell>
          <cell r="I161">
            <v>23142.399999999998</v>
          </cell>
          <cell r="J161">
            <v>128000</v>
          </cell>
          <cell r="K161">
            <v>-176414</v>
          </cell>
          <cell r="L161">
            <v>5938063.5999999996</v>
          </cell>
          <cell r="M161">
            <v>5570.416135084427</v>
          </cell>
          <cell r="N161">
            <v>6117846.5988470754</v>
          </cell>
          <cell r="O161">
            <v>5733.6894084789838</v>
          </cell>
          <cell r="P161">
            <v>2.9310785663965867E-2</v>
          </cell>
          <cell r="Q161">
            <v>0</v>
          </cell>
          <cell r="R161">
            <v>0</v>
          </cell>
          <cell r="S161">
            <v>5875.3407674293112</v>
          </cell>
          <cell r="T161">
            <v>5570.416135084427</v>
          </cell>
          <cell r="U161">
            <v>5733.6894084789838</v>
          </cell>
          <cell r="V161">
            <v>163.27327339455678</v>
          </cell>
          <cell r="W161">
            <v>2.9310785663965868</v>
          </cell>
          <cell r="X161">
            <v>0</v>
          </cell>
          <cell r="Y161">
            <v>0</v>
          </cell>
          <cell r="Z161">
            <v>0</v>
          </cell>
        </row>
        <row r="162">
          <cell r="C162">
            <v>4006</v>
          </cell>
          <cell r="D162" t="str">
            <v>Outwood Academy City</v>
          </cell>
          <cell r="E162">
            <v>1128</v>
          </cell>
          <cell r="F162">
            <v>1126</v>
          </cell>
          <cell r="G162">
            <v>-2</v>
          </cell>
          <cell r="H162">
            <v>6854047.492600915</v>
          </cell>
          <cell r="I162">
            <v>30464</v>
          </cell>
          <cell r="J162">
            <v>128000</v>
          </cell>
          <cell r="K162">
            <v>-225534</v>
          </cell>
          <cell r="L162">
            <v>6921117.492600915</v>
          </cell>
          <cell r="M162">
            <v>6135.7424579795343</v>
          </cell>
          <cell r="N162">
            <v>7246831.4853804</v>
          </cell>
          <cell r="O162">
            <v>6435.9071806220245</v>
          </cell>
          <cell r="P162">
            <v>4.8920684774199731E-2</v>
          </cell>
          <cell r="Q162">
            <v>0</v>
          </cell>
          <cell r="R162">
            <v>0</v>
          </cell>
          <cell r="S162">
            <v>6576.6389745829483</v>
          </cell>
          <cell r="T162">
            <v>6135.7424579795343</v>
          </cell>
          <cell r="U162">
            <v>6435.9071806220245</v>
          </cell>
          <cell r="V162">
            <v>300.16472264249023</v>
          </cell>
          <cell r="W162">
            <v>4.892068477419973</v>
          </cell>
          <cell r="X162">
            <v>0</v>
          </cell>
          <cell r="Y162">
            <v>0</v>
          </cell>
          <cell r="Z162">
            <v>0</v>
          </cell>
        </row>
        <row r="163">
          <cell r="C163">
            <v>6907</v>
          </cell>
          <cell r="D163" t="str">
            <v>Parkwood E-ACT Academy</v>
          </cell>
          <cell r="E163">
            <v>806</v>
          </cell>
          <cell r="F163">
            <v>793</v>
          </cell>
          <cell r="G163">
            <v>-13</v>
          </cell>
          <cell r="H163">
            <v>5386928.4544683043</v>
          </cell>
          <cell r="I163">
            <v>27904</v>
          </cell>
          <cell r="J163">
            <v>128000</v>
          </cell>
          <cell r="K163">
            <v>-175652</v>
          </cell>
          <cell r="L163">
            <v>5406676.4544683043</v>
          </cell>
          <cell r="M163">
            <v>6708.0353033105512</v>
          </cell>
          <cell r="N163">
            <v>5542994.0507333744</v>
          </cell>
          <cell r="O163">
            <v>6989.9042253888711</v>
          </cell>
          <cell r="P163">
            <v>4.2019594312393056E-2</v>
          </cell>
          <cell r="Q163">
            <v>0</v>
          </cell>
          <cell r="R163">
            <v>0</v>
          </cell>
          <cell r="S163">
            <v>7186.5044775956803</v>
          </cell>
          <cell r="T163">
            <v>6708.0353033105512</v>
          </cell>
          <cell r="U163">
            <v>6989.9042253888711</v>
          </cell>
          <cell r="V163">
            <v>281.86892207831988</v>
          </cell>
          <cell r="W163">
            <v>4.201959431239306</v>
          </cell>
          <cell r="X163">
            <v>0</v>
          </cell>
          <cell r="Y163">
            <v>0</v>
          </cell>
          <cell r="Z163">
            <v>0</v>
          </cell>
        </row>
        <row r="164">
          <cell r="C164">
            <v>6905</v>
          </cell>
          <cell r="D164" t="str">
            <v>Sheffield Park Academy</v>
          </cell>
          <cell r="E164">
            <v>1010</v>
          </cell>
          <cell r="F164">
            <v>1029</v>
          </cell>
          <cell r="G164">
            <v>19</v>
          </cell>
          <cell r="H164">
            <v>6543572.8035028409</v>
          </cell>
          <cell r="I164">
            <v>32000</v>
          </cell>
          <cell r="J164">
            <v>128000</v>
          </cell>
          <cell r="K164">
            <v>-217326</v>
          </cell>
          <cell r="L164">
            <v>6600898.8035028409</v>
          </cell>
          <cell r="M164">
            <v>6535.5433698047927</v>
          </cell>
          <cell r="N164">
            <v>7091630.405465873</v>
          </cell>
          <cell r="O164">
            <v>6891.7691015217424</v>
          </cell>
          <cell r="P164">
            <v>5.4505908929128509E-2</v>
          </cell>
          <cell r="Q164">
            <v>0</v>
          </cell>
          <cell r="R164">
            <v>0</v>
          </cell>
          <cell r="S164">
            <v>7047.2598692574084</v>
          </cell>
          <cell r="T164">
            <v>6535.5433698047927</v>
          </cell>
          <cell r="U164">
            <v>6891.7691015217424</v>
          </cell>
          <cell r="V164">
            <v>356.22573171694967</v>
          </cell>
          <cell r="W164">
            <v>5.4505908929128513</v>
          </cell>
          <cell r="X164">
            <v>0</v>
          </cell>
          <cell r="Y164">
            <v>0</v>
          </cell>
          <cell r="Z164">
            <v>0</v>
          </cell>
        </row>
        <row r="165">
          <cell r="C165">
            <v>6906</v>
          </cell>
          <cell r="D165" t="str">
            <v>Sheffield Springs Academy</v>
          </cell>
          <cell r="E165">
            <v>939</v>
          </cell>
          <cell r="F165">
            <v>981</v>
          </cell>
          <cell r="G165">
            <v>42</v>
          </cell>
          <cell r="H165">
            <v>6351087.0339751281</v>
          </cell>
          <cell r="I165">
            <v>28672</v>
          </cell>
          <cell r="J165">
            <v>128000</v>
          </cell>
          <cell r="K165">
            <v>-211707</v>
          </cell>
          <cell r="L165">
            <v>6406122.0339751281</v>
          </cell>
          <cell r="M165">
            <v>6822.2811863419893</v>
          </cell>
          <cell r="N165">
            <v>7012573.4957010895</v>
          </cell>
          <cell r="O165">
            <v>7148.3929619786841</v>
          </cell>
          <cell r="P165">
            <v>4.7800987196124543E-2</v>
          </cell>
          <cell r="Q165">
            <v>0</v>
          </cell>
          <cell r="R165">
            <v>0</v>
          </cell>
          <cell r="S165">
            <v>7308.0993839970333</v>
          </cell>
          <cell r="T165">
            <v>6822.2811863419893</v>
          </cell>
          <cell r="U165">
            <v>7148.3929619786841</v>
          </cell>
          <cell r="V165">
            <v>326.1117756366948</v>
          </cell>
          <cell r="W165">
            <v>4.7800987196124547</v>
          </cell>
          <cell r="X165">
            <v>0</v>
          </cell>
          <cell r="Y165">
            <v>0</v>
          </cell>
          <cell r="Z165">
            <v>0</v>
          </cell>
        </row>
        <row r="166">
          <cell r="C166">
            <v>4229</v>
          </cell>
          <cell r="D166" t="str">
            <v>Silverdale School</v>
          </cell>
          <cell r="E166">
            <v>1015</v>
          </cell>
          <cell r="F166">
            <v>1021</v>
          </cell>
          <cell r="G166">
            <v>6</v>
          </cell>
          <cell r="H166">
            <v>6509944.4501884393</v>
          </cell>
          <cell r="I166">
            <v>901252.45018843981</v>
          </cell>
          <cell r="J166">
            <v>128000</v>
          </cell>
          <cell r="K166">
            <v>-168823</v>
          </cell>
          <cell r="L166">
            <v>5649515</v>
          </cell>
          <cell r="M166">
            <v>5566.0246305418723</v>
          </cell>
          <cell r="N166">
            <v>5710347.8270451752</v>
          </cell>
          <cell r="O166">
            <v>5592.8969902499266</v>
          </cell>
          <cell r="P166">
            <v>4.8279268403880922E-3</v>
          </cell>
          <cell r="Q166">
            <v>1.7207315961190791E-4</v>
          </cell>
          <cell r="R166">
            <v>977.8764769927983</v>
          </cell>
          <cell r="S166">
            <v>6990.7174978251587</v>
          </cell>
          <cell r="T166">
            <v>5566.0246305418723</v>
          </cell>
          <cell r="U166">
            <v>5593.8547536945816</v>
          </cell>
          <cell r="V166">
            <v>27.830123152709348</v>
          </cell>
          <cell r="W166">
            <v>0.49999999999999978</v>
          </cell>
          <cell r="X166">
            <v>0</v>
          </cell>
          <cell r="Y166">
            <v>0</v>
          </cell>
          <cell r="Z166">
            <v>0</v>
          </cell>
        </row>
        <row r="167">
          <cell r="C167">
            <v>4271</v>
          </cell>
          <cell r="D167" t="str">
            <v>Stocksbridge High School</v>
          </cell>
          <cell r="E167">
            <v>798</v>
          </cell>
          <cell r="F167">
            <v>793</v>
          </cell>
          <cell r="G167">
            <v>-5</v>
          </cell>
          <cell r="H167">
            <v>4500017.5899561495</v>
          </cell>
          <cell r="I167">
            <v>22118.400000000001</v>
          </cell>
          <cell r="J167">
            <v>128000</v>
          </cell>
          <cell r="K167">
            <v>-148770</v>
          </cell>
          <cell r="L167">
            <v>4498669.1899561491</v>
          </cell>
          <cell r="M167">
            <v>5637.4300626016902</v>
          </cell>
          <cell r="N167">
            <v>4704034.1307613347</v>
          </cell>
          <cell r="O167">
            <v>5931.9472014644825</v>
          </cell>
          <cell r="P167">
            <v>5.2243156117642693E-2</v>
          </cell>
          <cell r="Q167">
            <v>0</v>
          </cell>
          <cell r="R167">
            <v>0</v>
          </cell>
          <cell r="S167">
            <v>6121.2511106700313</v>
          </cell>
          <cell r="T167">
            <v>5637.4300626016902</v>
          </cell>
          <cell r="U167">
            <v>5931.9472014644825</v>
          </cell>
          <cell r="V167">
            <v>294.51713886279231</v>
          </cell>
          <cell r="W167">
            <v>5.2243156117642693</v>
          </cell>
          <cell r="X167">
            <v>0</v>
          </cell>
          <cell r="Y167">
            <v>0</v>
          </cell>
          <cell r="Z167">
            <v>0</v>
          </cell>
        </row>
        <row r="168">
          <cell r="C168">
            <v>4234</v>
          </cell>
          <cell r="D168" t="str">
            <v>Tapton School</v>
          </cell>
          <cell r="E168">
            <v>1354</v>
          </cell>
          <cell r="F168">
            <v>1357</v>
          </cell>
          <cell r="G168">
            <v>3</v>
          </cell>
          <cell r="H168">
            <v>8060978.4639486969</v>
          </cell>
          <cell r="I168">
            <v>580128.46394869627</v>
          </cell>
          <cell r="J168">
            <v>128000</v>
          </cell>
          <cell r="K168">
            <v>-225962</v>
          </cell>
          <cell r="L168">
            <v>7578812.0000000009</v>
          </cell>
          <cell r="M168">
            <v>5597.3500738552448</v>
          </cell>
          <cell r="N168">
            <v>7638802.2117963675</v>
          </cell>
          <cell r="O168">
            <v>5629.1836490761734</v>
          </cell>
          <cell r="P168">
            <v>5.6872582205677339E-3</v>
          </cell>
          <cell r="Q168">
            <v>0</v>
          </cell>
          <cell r="R168">
            <v>0</v>
          </cell>
          <cell r="S168">
            <v>6261.4276078629882</v>
          </cell>
          <cell r="T168">
            <v>5597.3500738552448</v>
          </cell>
          <cell r="U168">
            <v>5629.1836490761734</v>
          </cell>
          <cell r="V168">
            <v>31.833575220928651</v>
          </cell>
          <cell r="W168">
            <v>0.56872582205677336</v>
          </cell>
          <cell r="X168">
            <v>0</v>
          </cell>
          <cell r="Y168">
            <v>0</v>
          </cell>
          <cell r="Z168">
            <v>0</v>
          </cell>
        </row>
        <row r="169">
          <cell r="C169">
            <v>4276</v>
          </cell>
          <cell r="D169" t="str">
            <v>The Birley Academy</v>
          </cell>
          <cell r="E169">
            <v>1074</v>
          </cell>
          <cell r="F169">
            <v>1076</v>
          </cell>
          <cell r="G169">
            <v>2</v>
          </cell>
          <cell r="H169">
            <v>6381622.7261507092</v>
          </cell>
          <cell r="I169">
            <v>37150.058970952683</v>
          </cell>
          <cell r="J169">
            <v>128000</v>
          </cell>
          <cell r="K169">
            <v>-203674</v>
          </cell>
          <cell r="L169">
            <v>6420146.6671797568</v>
          </cell>
          <cell r="M169">
            <v>5977.7901929048012</v>
          </cell>
          <cell r="N169">
            <v>6698352.0052034706</v>
          </cell>
          <cell r="O169">
            <v>6225.2342055794334</v>
          </cell>
          <cell r="P169">
            <v>4.1393893845309275E-2</v>
          </cell>
          <cell r="Q169">
            <v>0</v>
          </cell>
          <cell r="R169">
            <v>0</v>
          </cell>
          <cell r="S169">
            <v>6378.7193356909575</v>
          </cell>
          <cell r="T169">
            <v>5977.7901929048012</v>
          </cell>
          <cell r="U169">
            <v>6225.2342055794334</v>
          </cell>
          <cell r="V169">
            <v>247.44401267463218</v>
          </cell>
          <cell r="W169">
            <v>4.1393893845309275</v>
          </cell>
          <cell r="X169">
            <v>0</v>
          </cell>
          <cell r="Y169">
            <v>0</v>
          </cell>
          <cell r="Z169">
            <v>0</v>
          </cell>
        </row>
        <row r="170">
          <cell r="C170">
            <v>4004</v>
          </cell>
          <cell r="D170" t="str">
            <v>UTC Sheffield City Centre</v>
          </cell>
          <cell r="E170">
            <v>313</v>
          </cell>
          <cell r="F170">
            <v>312</v>
          </cell>
          <cell r="G170">
            <v>-1</v>
          </cell>
          <cell r="H170">
            <v>1946178.1435323802</v>
          </cell>
          <cell r="I170">
            <v>28416</v>
          </cell>
          <cell r="J170">
            <v>128000</v>
          </cell>
          <cell r="K170">
            <v>-61109</v>
          </cell>
          <cell r="L170">
            <v>1850871.1435323802</v>
          </cell>
          <cell r="M170">
            <v>5913.3263371641542</v>
          </cell>
          <cell r="N170">
            <v>1900626.0610769331</v>
          </cell>
          <cell r="O170">
            <v>6091.7501957594004</v>
          </cell>
          <cell r="P170">
            <v>3.0173179767516888E-2</v>
          </cell>
          <cell r="Q170">
            <v>0</v>
          </cell>
          <cell r="R170">
            <v>0</v>
          </cell>
          <cell r="S170">
            <v>6593.1668624260674</v>
          </cell>
          <cell r="T170">
            <v>5913.3263371641542</v>
          </cell>
          <cell r="U170">
            <v>6091.7501957594004</v>
          </cell>
          <cell r="V170">
            <v>178.4238585952462</v>
          </cell>
          <cell r="W170">
            <v>3.0173179767516887</v>
          </cell>
          <cell r="X170">
            <v>0</v>
          </cell>
          <cell r="Y170">
            <v>0</v>
          </cell>
          <cell r="Z170">
            <v>0</v>
          </cell>
        </row>
        <row r="171">
          <cell r="C171">
            <v>4010</v>
          </cell>
          <cell r="D171" t="str">
            <v>UTC Sheffield Olympic Legacy Park</v>
          </cell>
          <cell r="E171">
            <v>302</v>
          </cell>
          <cell r="F171">
            <v>301</v>
          </cell>
          <cell r="G171">
            <v>-1</v>
          </cell>
          <cell r="H171">
            <v>1934084.4715731195</v>
          </cell>
          <cell r="I171">
            <v>27392</v>
          </cell>
          <cell r="J171">
            <v>128000</v>
          </cell>
          <cell r="K171">
            <v>-60240</v>
          </cell>
          <cell r="L171">
            <v>1838932.4715731195</v>
          </cell>
          <cell r="M171">
            <v>6089.1803694474156</v>
          </cell>
          <cell r="N171">
            <v>1882148.4729476881</v>
          </cell>
          <cell r="O171">
            <v>6252.9849599590962</v>
          </cell>
          <cell r="P171">
            <v>2.6900925998772078E-2</v>
          </cell>
          <cell r="Q171">
            <v>0</v>
          </cell>
          <cell r="R171">
            <v>0</v>
          </cell>
          <cell r="S171">
            <v>6769.2374516534492</v>
          </cell>
          <cell r="T171">
            <v>6089.1803694474156</v>
          </cell>
          <cell r="U171">
            <v>6252.9849599590962</v>
          </cell>
          <cell r="V171">
            <v>163.80459051168054</v>
          </cell>
          <cell r="W171">
            <v>2.6900925998772078</v>
          </cell>
          <cell r="X171">
            <v>0</v>
          </cell>
          <cell r="Y171">
            <v>0</v>
          </cell>
          <cell r="Z171">
            <v>0</v>
          </cell>
        </row>
        <row r="172">
          <cell r="C172">
            <v>4013</v>
          </cell>
          <cell r="D172" t="str">
            <v>Westfield School</v>
          </cell>
          <cell r="E172">
            <v>1191</v>
          </cell>
          <cell r="F172">
            <v>1245</v>
          </cell>
          <cell r="G172">
            <v>54</v>
          </cell>
          <cell r="H172">
            <v>7266463.7368567921</v>
          </cell>
          <cell r="I172">
            <v>549289.15043349215</v>
          </cell>
          <cell r="J172">
            <v>128000</v>
          </cell>
          <cell r="K172">
            <v>-214445</v>
          </cell>
          <cell r="L172">
            <v>6803619.5864233002</v>
          </cell>
          <cell r="M172">
            <v>5712.5269407416463</v>
          </cell>
          <cell r="N172">
            <v>7382346.1940287808</v>
          </cell>
          <cell r="O172">
            <v>5929.5953365693022</v>
          </cell>
          <cell r="P172">
            <v>3.7998664702922923E-2</v>
          </cell>
          <cell r="Q172">
            <v>0</v>
          </cell>
          <cell r="R172">
            <v>0</v>
          </cell>
          <cell r="S172">
            <v>6610.1822444236932</v>
          </cell>
          <cell r="T172">
            <v>5712.5269407416463</v>
          </cell>
          <cell r="U172">
            <v>5929.5953365693022</v>
          </cell>
          <cell r="V172">
            <v>217.06839582765588</v>
          </cell>
          <cell r="W172">
            <v>3.7998664702922924</v>
          </cell>
          <cell r="X172">
            <v>0</v>
          </cell>
          <cell r="Y172">
            <v>0</v>
          </cell>
          <cell r="Z172">
            <v>0</v>
          </cell>
        </row>
        <row r="173">
          <cell r="C173">
            <v>4016</v>
          </cell>
          <cell r="D173" t="str">
            <v>Yewlands Academy</v>
          </cell>
          <cell r="E173">
            <v>876</v>
          </cell>
          <cell r="F173">
            <v>901</v>
          </cell>
          <cell r="G173">
            <v>25</v>
          </cell>
          <cell r="H173">
            <v>5346260.5287446668</v>
          </cell>
          <cell r="I173">
            <v>27648</v>
          </cell>
          <cell r="J173">
            <v>128000</v>
          </cell>
          <cell r="K173">
            <v>-174214</v>
          </cell>
          <cell r="L173">
            <v>5364826.5287446668</v>
          </cell>
          <cell r="M173">
            <v>6124.2311971971085</v>
          </cell>
          <cell r="N173">
            <v>5807308.2164553273</v>
          </cell>
          <cell r="O173">
            <v>6445.4031259215617</v>
          </cell>
          <cell r="P173">
            <v>5.2442815821754855E-2</v>
          </cell>
          <cell r="Q173">
            <v>0</v>
          </cell>
          <cell r="R173">
            <v>0</v>
          </cell>
          <cell r="S173">
            <v>6616.2666109382099</v>
          </cell>
          <cell r="T173">
            <v>6124.2311971971085</v>
          </cell>
          <cell r="U173">
            <v>6445.4031259215617</v>
          </cell>
          <cell r="V173">
            <v>321.17192872445321</v>
          </cell>
          <cell r="W173">
            <v>5.2442815821754856</v>
          </cell>
          <cell r="X173">
            <v>0</v>
          </cell>
          <cell r="Y173">
            <v>0</v>
          </cell>
          <cell r="Z173">
            <v>0</v>
          </cell>
        </row>
        <row r="174">
          <cell r="C174">
            <v>0</v>
          </cell>
          <cell r="D174">
            <v>0</v>
          </cell>
          <cell r="E174"/>
          <cell r="F174"/>
          <cell r="G174"/>
          <cell r="Q174"/>
          <cell r="W174"/>
          <cell r="Y174"/>
        </row>
        <row r="175">
          <cell r="C175">
            <v>0</v>
          </cell>
          <cell r="D175" t="str">
            <v>Total Secondary</v>
          </cell>
          <cell r="E175">
            <v>27571</v>
          </cell>
          <cell r="F175">
            <v>27959</v>
          </cell>
          <cell r="G175">
            <v>388</v>
          </cell>
          <cell r="H175">
            <v>170014688.55221823</v>
          </cell>
          <cell r="I175">
            <v>6802118.3469985584</v>
          </cell>
          <cell r="J175">
            <v>3456000</v>
          </cell>
          <cell r="K175">
            <v>-5214796.9967</v>
          </cell>
          <cell r="L175">
            <v>164971367.20191967</v>
          </cell>
          <cell r="M175">
            <v>5983.5104712168468</v>
          </cell>
          <cell r="N175">
            <v>173744056.34501937</v>
          </cell>
          <cell r="O175">
            <v>6214.2442986165233</v>
          </cell>
          <cell r="Q175"/>
          <cell r="R175">
            <v>1194.5121813259129</v>
          </cell>
          <cell r="S175">
            <v>0</v>
          </cell>
          <cell r="T175">
            <v>5983.5104712168468</v>
          </cell>
          <cell r="U175">
            <v>6214.2870223255723</v>
          </cell>
          <cell r="V175">
            <v>230.77655110872547</v>
          </cell>
          <cell r="W175">
            <v>3.8568755284854248</v>
          </cell>
          <cell r="X175">
            <v>0</v>
          </cell>
          <cell r="Y175">
            <v>0</v>
          </cell>
          <cell r="Z175">
            <v>0</v>
          </cell>
        </row>
        <row r="176">
          <cell r="C176">
            <v>0</v>
          </cell>
          <cell r="D176">
            <v>0</v>
          </cell>
          <cell r="E176"/>
          <cell r="F176"/>
          <cell r="G176"/>
          <cell r="Q176"/>
          <cell r="W176"/>
          <cell r="Y176"/>
        </row>
        <row r="177">
          <cell r="C177">
            <v>0</v>
          </cell>
          <cell r="D177" t="str">
            <v>Middle Deemed Secondary</v>
          </cell>
          <cell r="E177"/>
          <cell r="F177"/>
          <cell r="G177"/>
          <cell r="Q177"/>
          <cell r="W177"/>
          <cell r="Y177"/>
        </row>
        <row r="178">
          <cell r="C178">
            <v>0</v>
          </cell>
          <cell r="D178">
            <v>0</v>
          </cell>
          <cell r="E178"/>
          <cell r="F178"/>
          <cell r="G178"/>
          <cell r="Q178"/>
          <cell r="W178"/>
          <cell r="Y178">
            <v>4950.833333333333</v>
          </cell>
        </row>
        <row r="179">
          <cell r="C179">
            <v>4014</v>
          </cell>
          <cell r="D179" t="str">
            <v>Astrea Academy Sheffield</v>
          </cell>
          <cell r="E179">
            <v>891.5</v>
          </cell>
          <cell r="F179">
            <v>979</v>
          </cell>
          <cell r="G179">
            <v>87.5</v>
          </cell>
          <cell r="H179">
            <v>5437866.102535218</v>
          </cell>
          <cell r="I179">
            <v>7424</v>
          </cell>
          <cell r="J179">
            <v>128000</v>
          </cell>
          <cell r="K179">
            <v>-179943.45079999999</v>
          </cell>
          <cell r="L179">
            <v>5482385.5533352178</v>
          </cell>
          <cell r="M179">
            <v>6149.6192409817359</v>
          </cell>
          <cell r="N179">
            <v>6313161.0980060901</v>
          </cell>
          <cell r="O179">
            <v>6448.5813054199079</v>
          </cell>
          <cell r="P179">
            <v>4.8614727631567198E-2</v>
          </cell>
          <cell r="Q179">
            <v>0</v>
          </cell>
          <cell r="R179">
            <v>0</v>
          </cell>
          <cell r="S179">
            <v>6586.9102124679166</v>
          </cell>
          <cell r="T179" t="str">
            <v>Not applicable until school is full</v>
          </cell>
          <cell r="U179"/>
          <cell r="V179"/>
          <cell r="W179"/>
          <cell r="X179"/>
          <cell r="Y179">
            <v>0</v>
          </cell>
          <cell r="Z179">
            <v>0</v>
          </cell>
        </row>
        <row r="180">
          <cell r="C180">
            <v>4225</v>
          </cell>
          <cell r="D180" t="str">
            <v>Hinde House 2-16 School</v>
          </cell>
          <cell r="E180">
            <v>1282</v>
          </cell>
          <cell r="F180">
            <v>1322</v>
          </cell>
          <cell r="G180">
            <v>40</v>
          </cell>
          <cell r="H180">
            <v>8383664.955516655</v>
          </cell>
          <cell r="I180">
            <v>566469.09372866177</v>
          </cell>
          <cell r="J180">
            <v>128000</v>
          </cell>
          <cell r="K180">
            <v>-241081</v>
          </cell>
          <cell r="L180">
            <v>7930276.8617879935</v>
          </cell>
          <cell r="M180">
            <v>6185.8633867301041</v>
          </cell>
          <cell r="N180">
            <v>8328978.2330613323</v>
          </cell>
          <cell r="O180">
            <v>6300.2861067029744</v>
          </cell>
          <cell r="P180">
            <v>1.8497453438485165E-2</v>
          </cell>
          <cell r="Q180">
            <v>0</v>
          </cell>
          <cell r="R180">
            <v>0</v>
          </cell>
          <cell r="S180">
            <v>7131.5016488048241</v>
          </cell>
          <cell r="T180">
            <v>6185.8633867301041</v>
          </cell>
          <cell r="U180">
            <v>6300.2861067029744</v>
          </cell>
          <cell r="V180">
            <v>114.42271997287025</v>
          </cell>
          <cell r="W180">
            <v>1.8497453438485165</v>
          </cell>
          <cell r="X180">
            <v>0</v>
          </cell>
          <cell r="Y180">
            <v>0</v>
          </cell>
          <cell r="Z180">
            <v>0</v>
          </cell>
        </row>
        <row r="181">
          <cell r="C181">
            <v>4005</v>
          </cell>
          <cell r="D181" t="str">
            <v>Oasis Academy Don Valley</v>
          </cell>
          <cell r="E181">
            <v>997.75</v>
          </cell>
          <cell r="F181">
            <v>1061</v>
          </cell>
          <cell r="G181">
            <v>63.25</v>
          </cell>
          <cell r="H181">
            <v>5681222.4029679932</v>
          </cell>
          <cell r="I181">
            <v>29952</v>
          </cell>
          <cell r="J181">
            <v>128000</v>
          </cell>
          <cell r="K181">
            <v>-180729.09349999999</v>
          </cell>
          <cell r="L181">
            <v>5703999.4964679936</v>
          </cell>
          <cell r="M181">
            <v>5716.8624369511335</v>
          </cell>
          <cell r="N181">
            <v>6400137.9769353857</v>
          </cell>
          <cell r="O181">
            <v>6032.1752845762358</v>
          </cell>
          <cell r="P181">
            <v>5.5154877540356223E-2</v>
          </cell>
          <cell r="Q181">
            <v>0</v>
          </cell>
          <cell r="R181">
            <v>0</v>
          </cell>
          <cell r="S181">
            <v>6181.046161107809</v>
          </cell>
          <cell r="T181">
            <v>5716.8624369511335</v>
          </cell>
          <cell r="U181">
            <v>6032.1752845762358</v>
          </cell>
          <cell r="V181">
            <v>315.31284762510222</v>
          </cell>
          <cell r="W181">
            <v>5.5154877540356226</v>
          </cell>
          <cell r="X181">
            <v>0</v>
          </cell>
          <cell r="Y181">
            <v>0</v>
          </cell>
          <cell r="Z181">
            <v>0</v>
          </cell>
        </row>
        <row r="182">
          <cell r="C182">
            <v>0</v>
          </cell>
          <cell r="D182">
            <v>0</v>
          </cell>
          <cell r="E182"/>
          <cell r="F182"/>
          <cell r="G182"/>
          <cell r="Q182"/>
          <cell r="W182"/>
          <cell r="Y182"/>
        </row>
        <row r="183">
          <cell r="C183">
            <v>0</v>
          </cell>
          <cell r="D183">
            <v>0</v>
          </cell>
          <cell r="E183">
            <v>3171.25</v>
          </cell>
          <cell r="F183">
            <v>3362</v>
          </cell>
          <cell r="G183">
            <v>190.75</v>
          </cell>
          <cell r="H183">
            <v>19502753.461019866</v>
          </cell>
          <cell r="I183">
            <v>603845.09372866177</v>
          </cell>
          <cell r="J183">
            <v>384000</v>
          </cell>
          <cell r="K183">
            <v>-601753.54429999995</v>
          </cell>
          <cell r="L183">
            <v>19116661.911591206</v>
          </cell>
          <cell r="M183">
            <v>6028.1156993586774</v>
          </cell>
          <cell r="N183">
            <v>21042277.308002807</v>
          </cell>
          <cell r="O183">
            <v>6258.8570220115425</v>
          </cell>
          <cell r="Q183"/>
          <cell r="R183">
            <v>0</v>
          </cell>
          <cell r="T183">
            <v>6028.1156993586774</v>
          </cell>
          <cell r="U183">
            <v>6258.8570220115425</v>
          </cell>
          <cell r="V183">
            <v>230.74132265286516</v>
          </cell>
          <cell r="W183">
            <v>3.8277520565408758</v>
          </cell>
          <cell r="Y183">
            <v>0</v>
          </cell>
          <cell r="Z183">
            <v>0</v>
          </cell>
        </row>
        <row r="184">
          <cell r="C184">
            <v>0</v>
          </cell>
          <cell r="D184" t="str">
            <v>Total Middle Deemed Secondary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</row>
        <row r="185">
          <cell r="C185">
            <v>0</v>
          </cell>
          <cell r="D185">
            <v>0</v>
          </cell>
          <cell r="E185">
            <v>73809.25</v>
          </cell>
          <cell r="F185">
            <v>74732</v>
          </cell>
          <cell r="G185">
            <v>922.75</v>
          </cell>
          <cell r="H185">
            <v>395876425.99999791</v>
          </cell>
          <cell r="I185">
            <v>9811869.8923489451</v>
          </cell>
          <cell r="J185">
            <v>20875570.815086782</v>
          </cell>
          <cell r="K185">
            <v>-11717944.541000001</v>
          </cell>
          <cell r="L185">
            <v>376906929.83356214</v>
          </cell>
          <cell r="M185">
            <v>5106.4999283092857</v>
          </cell>
          <cell r="N185">
            <v>391533413.97242695</v>
          </cell>
          <cell r="O185">
            <v>5239.1668090299599</v>
          </cell>
          <cell r="P185"/>
          <cell r="Q185"/>
          <cell r="R185">
            <v>783574.07327317353</v>
          </cell>
          <cell r="S185"/>
          <cell r="T185">
            <v>5106.4999283092857</v>
          </cell>
          <cell r="U185">
            <v>5249.6519301731541</v>
          </cell>
          <cell r="V185">
            <v>143.15200186386846</v>
          </cell>
          <cell r="W185">
            <v>2.8033291662311792</v>
          </cell>
          <cell r="X185"/>
          <cell r="Y185">
            <v>0</v>
          </cell>
          <cell r="Z185">
            <v>0</v>
          </cell>
        </row>
        <row r="186">
          <cell r="C186">
            <v>0</v>
          </cell>
          <cell r="D186" t="str">
            <v>Total All Schools</v>
          </cell>
          <cell r="E186"/>
          <cell r="F186">
            <v>0</v>
          </cell>
          <cell r="G186">
            <v>1.2501820571269862E-2</v>
          </cell>
          <cell r="H186">
            <v>0</v>
          </cell>
          <cell r="I186"/>
          <cell r="J186"/>
          <cell r="K186">
            <v>0</v>
          </cell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</row>
        <row r="187"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>
            <v>783574.07327317353</v>
          </cell>
        </row>
        <row r="188">
          <cell r="C188">
            <v>4998</v>
          </cell>
          <cell r="D188" t="str">
            <v>Astrea 3-16 - Pri</v>
          </cell>
          <cell r="E188">
            <v>196</v>
          </cell>
          <cell r="F188">
            <v>243</v>
          </cell>
          <cell r="G188">
            <v>47</v>
          </cell>
          <cell r="H188"/>
          <cell r="I188"/>
          <cell r="J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</row>
        <row r="189">
          <cell r="C189">
            <v>4998</v>
          </cell>
          <cell r="D189" t="str">
            <v>Astrea 3-16 - Sec</v>
          </cell>
          <cell r="E189">
            <v>695.5</v>
          </cell>
          <cell r="F189">
            <v>736</v>
          </cell>
          <cell r="G189">
            <v>40.5</v>
          </cell>
          <cell r="H189"/>
          <cell r="I189"/>
          <cell r="J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</row>
        <row r="190">
          <cell r="C190"/>
          <cell r="D190"/>
          <cell r="E190">
            <v>891.5</v>
          </cell>
          <cell r="F190">
            <v>979</v>
          </cell>
          <cell r="G190">
            <v>87.5</v>
          </cell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</row>
        <row r="191"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</row>
        <row r="192">
          <cell r="C192"/>
          <cell r="D192" t="str">
            <v>Hinde House 3-16 - Pri</v>
          </cell>
          <cell r="E192">
            <v>427</v>
          </cell>
          <cell r="F192">
            <v>419</v>
          </cell>
          <cell r="G192">
            <v>-8</v>
          </cell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</row>
        <row r="193">
          <cell r="C193"/>
          <cell r="D193" t="str">
            <v>Hinde House 3-16 - Sec</v>
          </cell>
          <cell r="E193">
            <v>855</v>
          </cell>
          <cell r="F193">
            <v>903</v>
          </cell>
          <cell r="G193">
            <v>48</v>
          </cell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</row>
        <row r="194">
          <cell r="C194"/>
          <cell r="D194"/>
          <cell r="E194">
            <v>1282</v>
          </cell>
          <cell r="F194">
            <v>1322</v>
          </cell>
          <cell r="G194">
            <v>40</v>
          </cell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</row>
        <row r="195"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</row>
        <row r="196">
          <cell r="C196">
            <v>4005</v>
          </cell>
          <cell r="D196" t="str">
            <v>Oasis Academy Don Valley - Pri</v>
          </cell>
          <cell r="E196">
            <v>418.25</v>
          </cell>
          <cell r="F196">
            <v>414</v>
          </cell>
          <cell r="G196">
            <v>-4.25</v>
          </cell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</row>
        <row r="197">
          <cell r="C197">
            <v>4005</v>
          </cell>
          <cell r="D197" t="str">
            <v>Oasis Academy Don Valley - Sec</v>
          </cell>
          <cell r="E197">
            <v>579.5</v>
          </cell>
          <cell r="F197">
            <v>647</v>
          </cell>
          <cell r="G197">
            <v>67.5</v>
          </cell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</row>
        <row r="198">
          <cell r="C198"/>
          <cell r="D198"/>
          <cell r="E198">
            <v>997.75</v>
          </cell>
          <cell r="F198">
            <v>1061</v>
          </cell>
          <cell r="G198">
            <v>63.25</v>
          </cell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 t="str">
            <v>Maximum Loss (£/pupil)</v>
          </cell>
          <cell r="W198">
            <v>0.49999999999998457</v>
          </cell>
          <cell r="X198"/>
          <cell r="Y198"/>
        </row>
        <row r="199">
          <cell r="C199"/>
          <cell r="D199"/>
          <cell r="E199"/>
          <cell r="F199"/>
          <cell r="G199"/>
          <cell r="I199"/>
          <cell r="K199"/>
          <cell r="P199"/>
          <cell r="Q199"/>
          <cell r="T199"/>
          <cell r="U199"/>
          <cell r="V199" t="str">
            <v>Maximum Gain (£/pupil)</v>
          </cell>
          <cell r="W199">
            <v>8.0967454955609899</v>
          </cell>
        </row>
        <row r="201">
          <cell r="D201" t="str">
            <v>Assumed Change in DSG</v>
          </cell>
          <cell r="E201" t="str">
            <v>Pupils</v>
          </cell>
          <cell r="F201"/>
          <cell r="G201"/>
          <cell r="H201" t="str">
            <v>17-18 £/pupil</v>
          </cell>
          <cell r="I201"/>
          <cell r="J201"/>
          <cell r="K201" t="str">
            <v>ISB Check</v>
          </cell>
          <cell r="N201"/>
          <cell r="P201"/>
          <cell r="Q201"/>
          <cell r="R201"/>
          <cell r="S201"/>
        </row>
        <row r="202">
          <cell r="D202" t="str">
            <v>Primary</v>
          </cell>
          <cell r="E202">
            <v>43912.25</v>
          </cell>
          <cell r="F202">
            <v>44487</v>
          </cell>
          <cell r="G202">
            <v>574.75</v>
          </cell>
          <cell r="H202">
            <v>3987.7750141793267</v>
          </cell>
          <cell r="I202"/>
          <cell r="J202"/>
          <cell r="N202"/>
          <cell r="P202"/>
          <cell r="Q202"/>
          <cell r="R202"/>
          <cell r="S202"/>
        </row>
        <row r="203">
          <cell r="D203" t="str">
            <v>Secondary</v>
          </cell>
          <cell r="E203">
            <v>29005.5</v>
          </cell>
          <cell r="F203">
            <v>30245</v>
          </cell>
          <cell r="G203">
            <v>1239.5</v>
          </cell>
          <cell r="H203">
            <v>4961.1452690565784</v>
          </cell>
          <cell r="I203"/>
          <cell r="J203"/>
          <cell r="K203">
            <v>306000397.09040082</v>
          </cell>
          <cell r="L203" t="str">
            <v>2017-18 ISB</v>
          </cell>
          <cell r="N203"/>
          <cell r="P203"/>
          <cell r="Q203"/>
          <cell r="R203"/>
          <cell r="S203"/>
        </row>
        <row r="204">
          <cell r="D204"/>
          <cell r="E204">
            <v>72917.75</v>
          </cell>
          <cell r="F204">
            <v>74732</v>
          </cell>
          <cell r="G204">
            <v>1814.25</v>
          </cell>
          <cell r="H204"/>
          <cell r="I204"/>
          <cell r="J204"/>
          <cell r="K204">
            <v>0</v>
          </cell>
          <cell r="L204" t="str">
            <v>Demography</v>
          </cell>
          <cell r="N204"/>
          <cell r="P204"/>
          <cell r="Q204"/>
          <cell r="R204"/>
          <cell r="S204"/>
        </row>
        <row r="205">
          <cell r="D205"/>
          <cell r="E205"/>
          <cell r="F205"/>
          <cell r="G205"/>
          <cell r="H205"/>
          <cell r="I205"/>
          <cell r="J205"/>
          <cell r="K205">
            <v>306000397.09040082</v>
          </cell>
          <cell r="L205" t="str">
            <v>Sub-total</v>
          </cell>
          <cell r="M205"/>
          <cell r="N205"/>
          <cell r="P205"/>
          <cell r="Q205"/>
          <cell r="R205"/>
          <cell r="S205"/>
        </row>
        <row r="206">
          <cell r="D206"/>
          <cell r="E206" t="str">
            <v>2017-18</v>
          </cell>
          <cell r="F206" t="str">
            <v>2018-19</v>
          </cell>
          <cell r="G206">
            <v>0</v>
          </cell>
          <cell r="H206"/>
          <cell r="I206"/>
          <cell r="K206"/>
          <cell r="L206" t="str">
            <v>Top Sliced Growth</v>
          </cell>
        </row>
        <row r="207">
          <cell r="K207">
            <v>306000397.09040082</v>
          </cell>
          <cell r="L207" t="str">
            <v>Total ISB Minimum</v>
          </cell>
        </row>
        <row r="208">
          <cell r="C208"/>
          <cell r="F208" t="str">
            <v>Primary</v>
          </cell>
          <cell r="G208">
            <v>1.3088602838615649E-2</v>
          </cell>
          <cell r="K208">
            <v>306000397.09040082</v>
          </cell>
          <cell r="L208" t="str">
            <v>Actual ISB</v>
          </cell>
          <cell r="N208"/>
          <cell r="O208"/>
          <cell r="P208"/>
          <cell r="R208"/>
        </row>
        <row r="209">
          <cell r="F209" t="str">
            <v>Secondary</v>
          </cell>
          <cell r="G209">
            <v>4.273327472375929E-2</v>
          </cell>
          <cell r="I209"/>
          <cell r="K209">
            <v>0</v>
          </cell>
        </row>
        <row r="210">
          <cell r="F210" t="str">
            <v>Total</v>
          </cell>
          <cell r="G210">
            <v>2.4880773199941031E-2</v>
          </cell>
          <cell r="I210"/>
          <cell r="K210"/>
        </row>
      </sheetData>
      <sheetData sheetId="37"/>
      <sheetData sheetId="38"/>
      <sheetData sheetId="39">
        <row r="1">
          <cell r="D1" t="str">
            <v>Indicative School Budget Shares - 2023-24</v>
          </cell>
          <cell r="Z1">
            <v>44979.808092939813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</row>
        <row r="3">
          <cell r="G3" t="str">
            <v>PUPIL LED FUNDING</v>
          </cell>
          <cell r="N3" t="str">
            <v>Primary</v>
          </cell>
        </row>
        <row r="4">
          <cell r="H4" t="str">
            <v>Deprivation</v>
          </cell>
          <cell r="N4">
            <v>128000</v>
          </cell>
          <cell r="Y4" t="str">
            <v>***check for negative rates values</v>
          </cell>
        </row>
        <row r="5">
          <cell r="D5" t="str">
            <v>DfE</v>
          </cell>
          <cell r="E5" t="str">
            <v>School</v>
          </cell>
          <cell r="F5" t="str">
            <v xml:space="preserve">Pupil No. </v>
          </cell>
          <cell r="G5" t="str">
            <v>Basic per pupil funding</v>
          </cell>
          <cell r="H5" t="str">
            <v xml:space="preserve">FSM </v>
          </cell>
          <cell r="I5" t="str">
            <v>FSM-Ever6</v>
          </cell>
          <cell r="J5" t="str">
            <v>IDACI</v>
          </cell>
          <cell r="K5" t="str">
            <v>Low Prior Attainment</v>
          </cell>
          <cell r="L5" t="str">
            <v>EAL</v>
          </cell>
          <cell r="M5" t="str">
            <v>Total Pupil Led Funding</v>
          </cell>
          <cell r="N5" t="str">
            <v>Lump Sum</v>
          </cell>
          <cell r="O5" t="str">
            <v>Mobility</v>
          </cell>
          <cell r="P5" t="str">
            <v>Minimum Funding Level Value</v>
          </cell>
          <cell r="Q5" t="str">
            <v>Minimum Funding Level</v>
          </cell>
          <cell r="R5" t="str">
            <v>Gains Cap Value</v>
          </cell>
          <cell r="S5" t="str">
            <v>Gains Cap</v>
          </cell>
          <cell r="T5" t="str">
            <v>MFG Value</v>
          </cell>
          <cell r="U5" t="str">
            <v>MFG</v>
          </cell>
          <cell r="V5" t="str">
            <v>PFI</v>
          </cell>
          <cell r="W5" t="str">
            <v>Split Sites</v>
          </cell>
          <cell r="X5" t="str">
            <v>Sparsity</v>
          </cell>
          <cell r="Y5" t="str">
            <v>APT NNDR NFF Rates 23-24</v>
          </cell>
          <cell r="Z5" t="str">
            <v>TOTAL Budget Share</v>
          </cell>
        </row>
        <row r="6">
          <cell r="F6" t="str">
            <v>FTE</v>
          </cell>
          <cell r="G6" t="str">
            <v>£</v>
          </cell>
          <cell r="H6" t="str">
            <v>£</v>
          </cell>
          <cell r="J6" t="str">
            <v>£</v>
          </cell>
          <cell r="K6" t="str">
            <v>£</v>
          </cell>
          <cell r="L6" t="str">
            <v>£</v>
          </cell>
          <cell r="M6" t="str">
            <v>£</v>
          </cell>
          <cell r="N6" t="str">
            <v>£</v>
          </cell>
          <cell r="O6" t="str">
            <v>£</v>
          </cell>
          <cell r="Q6" t="str">
            <v>£</v>
          </cell>
          <cell r="S6" t="str">
            <v>£</v>
          </cell>
          <cell r="U6" t="str">
            <v>£</v>
          </cell>
          <cell r="V6" t="str">
            <v>£</v>
          </cell>
          <cell r="W6" t="str">
            <v>£</v>
          </cell>
          <cell r="X6" t="str">
            <v>£</v>
          </cell>
          <cell r="Y6" t="str">
            <v>£</v>
          </cell>
          <cell r="Z6" t="str">
            <v>£</v>
          </cell>
        </row>
        <row r="7"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</row>
        <row r="9">
          <cell r="D9">
            <v>2001</v>
          </cell>
          <cell r="E9" t="str">
            <v>Abbey Lane Primary School</v>
          </cell>
          <cell r="F9">
            <v>546</v>
          </cell>
          <cell r="G9">
            <v>1890726.2442911349</v>
          </cell>
          <cell r="H9">
            <v>31488.000000000098</v>
          </cell>
          <cell r="I9">
            <v>49440.259999999937</v>
          </cell>
          <cell r="J9">
            <v>49189.270109975216</v>
          </cell>
          <cell r="K9">
            <v>133256.13362068948</v>
          </cell>
          <cell r="L9">
            <v>8612.6359832636081</v>
          </cell>
          <cell r="M9">
            <v>2162712.5440050634</v>
          </cell>
          <cell r="N9">
            <v>128000</v>
          </cell>
          <cell r="O9">
            <v>0</v>
          </cell>
          <cell r="P9">
            <v>114417.4559949367</v>
          </cell>
          <cell r="Q9">
            <v>114417.4559949367</v>
          </cell>
          <cell r="R9">
            <v>0</v>
          </cell>
          <cell r="S9">
            <v>0</v>
          </cell>
          <cell r="T9">
            <v>5293.605136094201</v>
          </cell>
          <cell r="U9">
            <v>5293.605136094201</v>
          </cell>
          <cell r="V9">
            <v>0</v>
          </cell>
          <cell r="W9">
            <v>0</v>
          </cell>
          <cell r="X9">
            <v>0</v>
          </cell>
          <cell r="Y9">
            <v>39936</v>
          </cell>
          <cell r="Z9">
            <v>2450359.6051360951</v>
          </cell>
        </row>
        <row r="10">
          <cell r="D10">
            <v>2046</v>
          </cell>
          <cell r="E10" t="str">
            <v>Abbeyfield Primary Academy</v>
          </cell>
          <cell r="F10">
            <v>372</v>
          </cell>
          <cell r="G10">
            <v>1288187.111495059</v>
          </cell>
          <cell r="H10">
            <v>65731.200000000041</v>
          </cell>
          <cell r="I10">
            <v>103101.03000000006</v>
          </cell>
          <cell r="J10">
            <v>126873.38418029297</v>
          </cell>
          <cell r="K10">
            <v>127948.41243286064</v>
          </cell>
          <cell r="L10">
            <v>76387.080745341533</v>
          </cell>
          <cell r="M10">
            <v>1788228.218853554</v>
          </cell>
          <cell r="N10">
            <v>128000</v>
          </cell>
          <cell r="O10">
            <v>34662.599999999853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6707</v>
          </cell>
          <cell r="Z10">
            <v>1957597.8188535536</v>
          </cell>
        </row>
        <row r="11">
          <cell r="D11">
            <v>2048</v>
          </cell>
          <cell r="E11" t="str">
            <v>Acres Hill Community Primary School</v>
          </cell>
          <cell r="F11">
            <v>205</v>
          </cell>
          <cell r="G11">
            <v>709888.05875399755</v>
          </cell>
          <cell r="H11">
            <v>38179.19999999999</v>
          </cell>
          <cell r="I11">
            <v>61498.859999999979</v>
          </cell>
          <cell r="J11">
            <v>73797.622195110525</v>
          </cell>
          <cell r="K11">
            <v>112638.87620192311</v>
          </cell>
          <cell r="L11">
            <v>36946.327683615804</v>
          </cell>
          <cell r="M11">
            <v>1032948.944834647</v>
          </cell>
          <cell r="N11">
            <v>128000</v>
          </cell>
          <cell r="O11">
            <v>8221.5000000000182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4966</v>
          </cell>
          <cell r="Z11">
            <v>1174136.444834647</v>
          </cell>
        </row>
        <row r="12">
          <cell r="D12">
            <v>2342</v>
          </cell>
          <cell r="E12" t="str">
            <v>Angram Bank Primary School</v>
          </cell>
          <cell r="F12">
            <v>184</v>
          </cell>
          <cell r="G12">
            <v>637167.81858895381</v>
          </cell>
          <cell r="H12">
            <v>32275.199999999964</v>
          </cell>
          <cell r="I12">
            <v>50043.189999999988</v>
          </cell>
          <cell r="J12">
            <v>53542.14101020727</v>
          </cell>
          <cell r="K12">
            <v>57878.589487691235</v>
          </cell>
          <cell r="L12">
            <v>1270.4761904761901</v>
          </cell>
          <cell r="M12">
            <v>832177.41527732834</v>
          </cell>
          <cell r="N12">
            <v>128000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23204</v>
          </cell>
          <cell r="Z12">
            <v>983381.41527732834</v>
          </cell>
        </row>
        <row r="13">
          <cell r="D13">
            <v>2343</v>
          </cell>
          <cell r="E13" t="str">
            <v>Anns Grove Primary School</v>
          </cell>
          <cell r="F13">
            <v>334</v>
          </cell>
          <cell r="G13">
            <v>1156598.1054821229</v>
          </cell>
          <cell r="H13">
            <v>51561.59999999994</v>
          </cell>
          <cell r="I13">
            <v>80792.619999999966</v>
          </cell>
          <cell r="J13">
            <v>103426.40731433709</v>
          </cell>
          <cell r="K13">
            <v>106817.95519001705</v>
          </cell>
          <cell r="L13">
            <v>49671.794871794795</v>
          </cell>
          <cell r="M13">
            <v>1548868.4828582716</v>
          </cell>
          <cell r="N13">
            <v>128000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40704</v>
          </cell>
          <cell r="Z13">
            <v>1717572.4828582716</v>
          </cell>
        </row>
        <row r="14">
          <cell r="D14">
            <v>3429</v>
          </cell>
          <cell r="E14" t="str">
            <v>Arbourthorne Community Primary School</v>
          </cell>
          <cell r="F14">
            <v>420</v>
          </cell>
          <cell r="G14">
            <v>1454404.8033008729</v>
          </cell>
          <cell r="H14">
            <v>101942.40000000005</v>
          </cell>
          <cell r="I14">
            <v>159173.52000000008</v>
          </cell>
          <cell r="J14">
            <v>200350.94233862171</v>
          </cell>
          <cell r="K14">
            <v>275266.48983200715</v>
          </cell>
          <cell r="L14">
            <v>32661.452513966535</v>
          </cell>
          <cell r="M14">
            <v>2223799.6079854686</v>
          </cell>
          <cell r="N14">
            <v>128000</v>
          </cell>
          <cell r="O14">
            <v>8316.00000000002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52736</v>
          </cell>
          <cell r="Z14">
            <v>2412851.6079854686</v>
          </cell>
        </row>
        <row r="15">
          <cell r="D15">
            <v>2340</v>
          </cell>
          <cell r="E15" t="str">
            <v>Athelstan Primary School</v>
          </cell>
          <cell r="F15">
            <v>614</v>
          </cell>
          <cell r="G15">
            <v>2126201.3076827046</v>
          </cell>
          <cell r="H15">
            <v>73996.799999999945</v>
          </cell>
          <cell r="I15">
            <v>116968.41999999991</v>
          </cell>
          <cell r="J15">
            <v>147229.45691961347</v>
          </cell>
          <cell r="K15">
            <v>201853.82471838663</v>
          </cell>
          <cell r="L15">
            <v>31202.895238095229</v>
          </cell>
          <cell r="M15">
            <v>2697452.7045587995</v>
          </cell>
          <cell r="N15">
            <v>128000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6653.7457159986834</v>
          </cell>
          <cell r="U15">
            <v>6653.7457159986834</v>
          </cell>
          <cell r="V15">
            <v>0</v>
          </cell>
          <cell r="W15">
            <v>0</v>
          </cell>
          <cell r="X15">
            <v>0</v>
          </cell>
          <cell r="Y15">
            <v>32768</v>
          </cell>
          <cell r="Z15">
            <v>2864874.450274799</v>
          </cell>
        </row>
        <row r="16">
          <cell r="D16">
            <v>2281</v>
          </cell>
          <cell r="E16" t="str">
            <v>Ballifield Primary School</v>
          </cell>
          <cell r="F16">
            <v>415</v>
          </cell>
          <cell r="G16">
            <v>1437090.460404434</v>
          </cell>
          <cell r="H16">
            <v>26764.799999999999</v>
          </cell>
          <cell r="I16">
            <v>42205.100000000064</v>
          </cell>
          <cell r="J16">
            <v>41919.244131646483</v>
          </cell>
          <cell r="K16">
            <v>147198.62826773908</v>
          </cell>
          <cell r="L16">
            <v>5424.2253521126677</v>
          </cell>
          <cell r="M16">
            <v>1700602.4581559324</v>
          </cell>
          <cell r="N16">
            <v>128000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27195.287760490326</v>
          </cell>
          <cell r="U16">
            <v>27195.287760490326</v>
          </cell>
          <cell r="V16">
            <v>0</v>
          </cell>
          <cell r="W16">
            <v>0</v>
          </cell>
          <cell r="X16">
            <v>0</v>
          </cell>
          <cell r="Y16">
            <v>27904</v>
          </cell>
          <cell r="Z16">
            <v>1883701.7459164232</v>
          </cell>
        </row>
        <row r="17">
          <cell r="D17">
            <v>2322</v>
          </cell>
          <cell r="E17" t="str">
            <v>Bankwood Community Primary School</v>
          </cell>
          <cell r="F17">
            <v>384</v>
          </cell>
          <cell r="G17">
            <v>1329741.5344465123</v>
          </cell>
          <cell r="H17">
            <v>108239.99999999994</v>
          </cell>
          <cell r="I17">
            <v>167011.61000000004</v>
          </cell>
          <cell r="J17">
            <v>216537.03791301398</v>
          </cell>
          <cell r="K17">
            <v>199281.40350877182</v>
          </cell>
          <cell r="L17">
            <v>42805.045045045001</v>
          </cell>
          <cell r="M17">
            <v>2063616.6309133433</v>
          </cell>
          <cell r="N17">
            <v>128000</v>
          </cell>
          <cell r="O17">
            <v>20752.2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24326</v>
          </cell>
          <cell r="Z17">
            <v>2236694.8309133435</v>
          </cell>
        </row>
        <row r="18">
          <cell r="D18">
            <v>2274</v>
          </cell>
          <cell r="E18" t="str">
            <v>Beck Primary School</v>
          </cell>
          <cell r="F18">
            <v>615</v>
          </cell>
          <cell r="G18">
            <v>2129664.1762619927</v>
          </cell>
          <cell r="H18">
            <v>129494.40000000001</v>
          </cell>
          <cell r="I18">
            <v>205599.12999999995</v>
          </cell>
          <cell r="J18">
            <v>300150.28986042755</v>
          </cell>
          <cell r="K18">
            <v>270772.2084623322</v>
          </cell>
          <cell r="L18">
            <v>37156.250000000124</v>
          </cell>
          <cell r="M18">
            <v>3072836.4545847522</v>
          </cell>
          <cell r="N18">
            <v>128000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9267</v>
          </cell>
          <cell r="Z18">
            <v>3210103.4545847522</v>
          </cell>
        </row>
        <row r="19">
          <cell r="D19">
            <v>2241</v>
          </cell>
          <cell r="E19" t="str">
            <v>Beighton Nursery Infant School</v>
          </cell>
          <cell r="F19">
            <v>242</v>
          </cell>
          <cell r="G19">
            <v>838014.1961876459</v>
          </cell>
          <cell r="H19">
            <v>17318.400000000016</v>
          </cell>
          <cell r="I19">
            <v>26528.920000000024</v>
          </cell>
          <cell r="J19">
            <v>21773.499187925416</v>
          </cell>
          <cell r="K19">
            <v>69036.37044429066</v>
          </cell>
          <cell r="L19">
            <v>7018.0000000000009</v>
          </cell>
          <cell r="M19">
            <v>979689.38581986201</v>
          </cell>
          <cell r="N19">
            <v>128000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5883.9132713535928</v>
          </cell>
          <cell r="U19">
            <v>5883.9132713535928</v>
          </cell>
          <cell r="V19">
            <v>0</v>
          </cell>
          <cell r="W19">
            <v>0</v>
          </cell>
          <cell r="X19">
            <v>0</v>
          </cell>
          <cell r="Y19">
            <v>20833</v>
          </cell>
          <cell r="Z19">
            <v>1134406.2990912157</v>
          </cell>
        </row>
        <row r="20">
          <cell r="D20">
            <v>2353</v>
          </cell>
          <cell r="E20" t="str">
            <v>Birley Primary Academy</v>
          </cell>
          <cell r="F20">
            <v>528</v>
          </cell>
          <cell r="G20">
            <v>1828394.6098639546</v>
          </cell>
          <cell r="H20">
            <v>58252.79999999993</v>
          </cell>
          <cell r="I20">
            <v>93454.14999999998</v>
          </cell>
          <cell r="J20">
            <v>63729.322066632594</v>
          </cell>
          <cell r="K20">
            <v>155246.90322580645</v>
          </cell>
          <cell r="L20">
            <v>1305.9275053304914</v>
          </cell>
          <cell r="M20">
            <v>2200383.7126617241</v>
          </cell>
          <cell r="N20">
            <v>128000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7325.5711067138154</v>
          </cell>
          <cell r="U20">
            <v>7325.5711067138154</v>
          </cell>
          <cell r="V20">
            <v>0</v>
          </cell>
          <cell r="W20">
            <v>0</v>
          </cell>
          <cell r="X20">
            <v>0</v>
          </cell>
          <cell r="Y20">
            <v>6882</v>
          </cell>
          <cell r="Z20">
            <v>2342591.2837684387</v>
          </cell>
        </row>
        <row r="21">
          <cell r="D21">
            <v>2323</v>
          </cell>
          <cell r="E21" t="str">
            <v>Birley Spa Primary Academy</v>
          </cell>
          <cell r="F21">
            <v>337</v>
          </cell>
          <cell r="G21">
            <v>1166986.7112199862</v>
          </cell>
          <cell r="H21">
            <v>49200</v>
          </cell>
          <cell r="I21">
            <v>80189.690000000031</v>
          </cell>
          <cell r="J21">
            <v>100505.71411338469</v>
          </cell>
          <cell r="K21">
            <v>118089.94067796605</v>
          </cell>
          <cell r="L21">
            <v>6515.3333333333267</v>
          </cell>
          <cell r="M21">
            <v>1521487.3893446701</v>
          </cell>
          <cell r="N21">
            <v>128000</v>
          </cell>
          <cell r="O21">
            <v>5462.1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9165</v>
          </cell>
          <cell r="Z21">
            <v>1664114.4893446702</v>
          </cell>
        </row>
        <row r="22">
          <cell r="D22">
            <v>2328</v>
          </cell>
          <cell r="E22" t="str">
            <v>Bradfield Dungworth Primary School</v>
          </cell>
          <cell r="F22">
            <v>137</v>
          </cell>
          <cell r="G22">
            <v>474412.99536242761</v>
          </cell>
          <cell r="H22">
            <v>3935.9999999999995</v>
          </cell>
          <cell r="I22">
            <v>6029.2999999999993</v>
          </cell>
          <cell r="J22">
            <v>2633.6697883756924</v>
          </cell>
          <cell r="K22">
            <v>26143.173913043469</v>
          </cell>
          <cell r="L22">
            <v>679.1452991452993</v>
          </cell>
          <cell r="M22">
            <v>513834.28436299204</v>
          </cell>
          <cell r="N22">
            <v>128000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11343.90226950808</v>
          </cell>
          <cell r="U22">
            <v>11343.90226950808</v>
          </cell>
          <cell r="V22">
            <v>0</v>
          </cell>
          <cell r="W22">
            <v>0</v>
          </cell>
          <cell r="X22">
            <v>9621.3618157543224</v>
          </cell>
          <cell r="Y22">
            <v>2816</v>
          </cell>
          <cell r="Z22">
            <v>665615.54844825424</v>
          </cell>
        </row>
        <row r="23">
          <cell r="D23">
            <v>2233</v>
          </cell>
          <cell r="E23" t="str">
            <v>Bradway Primary School</v>
          </cell>
          <cell r="F23">
            <v>414</v>
          </cell>
          <cell r="G23">
            <v>1433627.5918251462</v>
          </cell>
          <cell r="H23">
            <v>27158.400000000049</v>
          </cell>
          <cell r="I23">
            <v>41602.170000000071</v>
          </cell>
          <cell r="J23">
            <v>46592.179068660211</v>
          </cell>
          <cell r="K23">
            <v>105857.31787330312</v>
          </cell>
          <cell r="L23">
            <v>8139.6610169491605</v>
          </cell>
          <cell r="M23">
            <v>1662977.319784059</v>
          </cell>
          <cell r="N23">
            <v>128000</v>
          </cell>
          <cell r="O23">
            <v>0</v>
          </cell>
          <cell r="P23">
            <v>32692.680215940927</v>
          </cell>
          <cell r="Q23">
            <v>32692.680215940927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24950</v>
          </cell>
          <cell r="Z23">
            <v>1848619.9999999995</v>
          </cell>
        </row>
        <row r="24">
          <cell r="D24">
            <v>2014</v>
          </cell>
          <cell r="E24" t="str">
            <v>Brightside Nursery and Infant School</v>
          </cell>
          <cell r="F24">
            <v>173</v>
          </cell>
          <cell r="G24">
            <v>599076.26421678811</v>
          </cell>
          <cell r="H24">
            <v>24009.599999999988</v>
          </cell>
          <cell r="I24">
            <v>36778.729999999981</v>
          </cell>
          <cell r="J24">
            <v>51996.688946889495</v>
          </cell>
          <cell r="K24">
            <v>67201.604373427064</v>
          </cell>
          <cell r="L24">
            <v>44398.230088495606</v>
          </cell>
          <cell r="M24">
            <v>823461.11762560031</v>
          </cell>
          <cell r="N24">
            <v>128000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16841</v>
          </cell>
          <cell r="Z24">
            <v>968302.11762560031</v>
          </cell>
        </row>
        <row r="25">
          <cell r="D25">
            <v>2246</v>
          </cell>
          <cell r="E25" t="str">
            <v>Brook House Junior</v>
          </cell>
          <cell r="F25">
            <v>340</v>
          </cell>
          <cell r="G25">
            <v>1177375.3169578495</v>
          </cell>
          <cell r="H25">
            <v>22828.800000000047</v>
          </cell>
          <cell r="I25">
            <v>37984.590000000033</v>
          </cell>
          <cell r="J25">
            <v>27716.763296462792</v>
          </cell>
          <cell r="K25">
            <v>94816.693037974721</v>
          </cell>
          <cell r="L25">
            <v>4059.9999999999914</v>
          </cell>
          <cell r="M25">
            <v>1364782.1632922872</v>
          </cell>
          <cell r="N25">
            <v>128000</v>
          </cell>
          <cell r="O25">
            <v>0</v>
          </cell>
          <cell r="P25">
            <v>4917.8367077128132</v>
          </cell>
          <cell r="Q25">
            <v>4917.8367077128132</v>
          </cell>
          <cell r="R25">
            <v>0</v>
          </cell>
          <cell r="S25">
            <v>0</v>
          </cell>
          <cell r="T25">
            <v>18314.832566371286</v>
          </cell>
          <cell r="U25">
            <v>18314.832566371286</v>
          </cell>
          <cell r="V25">
            <v>0</v>
          </cell>
          <cell r="W25">
            <v>0</v>
          </cell>
          <cell r="X25">
            <v>0</v>
          </cell>
          <cell r="Y25">
            <v>4685</v>
          </cell>
          <cell r="Z25">
            <v>1520699.8325663707</v>
          </cell>
        </row>
        <row r="26">
          <cell r="D26">
            <v>5204</v>
          </cell>
          <cell r="E26" t="str">
            <v>Broomhill Infant School</v>
          </cell>
          <cell r="F26">
            <v>119</v>
          </cell>
          <cell r="G26">
            <v>412081.36093524733</v>
          </cell>
          <cell r="H26">
            <v>4723.2000000000098</v>
          </cell>
          <cell r="I26">
            <v>7235.1600000000153</v>
          </cell>
          <cell r="J26">
            <v>10333.496044668504</v>
          </cell>
          <cell r="K26">
            <v>34674.93679451957</v>
          </cell>
          <cell r="L26">
            <v>25882.5</v>
          </cell>
          <cell r="M26">
            <v>494930.6537744354</v>
          </cell>
          <cell r="N26">
            <v>128000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28384.154964930818</v>
          </cell>
          <cell r="U26">
            <v>28384.154964930818</v>
          </cell>
          <cell r="V26">
            <v>0</v>
          </cell>
          <cell r="W26">
            <v>0</v>
          </cell>
          <cell r="X26">
            <v>0</v>
          </cell>
          <cell r="Y26">
            <v>1562</v>
          </cell>
          <cell r="Z26">
            <v>652876.80873936624</v>
          </cell>
        </row>
        <row r="27">
          <cell r="D27">
            <v>2325</v>
          </cell>
          <cell r="E27" t="str">
            <v>Brunswick Community Primary School</v>
          </cell>
          <cell r="F27">
            <v>417</v>
          </cell>
          <cell r="G27">
            <v>1444016.1975630096</v>
          </cell>
          <cell r="H27">
            <v>56678.399999999951</v>
          </cell>
          <cell r="I27">
            <v>88630.71000000005</v>
          </cell>
          <cell r="J27">
            <v>102685.68768635648</v>
          </cell>
          <cell r="K27">
            <v>159593.49407327597</v>
          </cell>
          <cell r="L27">
            <v>6774.789915966383</v>
          </cell>
          <cell r="M27">
            <v>1858379.2792386082</v>
          </cell>
          <cell r="N27">
            <v>128000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35072</v>
          </cell>
          <cell r="Z27">
            <v>2021451.2792386082</v>
          </cell>
        </row>
        <row r="28">
          <cell r="D28">
            <v>2095</v>
          </cell>
          <cell r="E28" t="str">
            <v>Byron Wood Primary Academy</v>
          </cell>
          <cell r="F28">
            <v>395</v>
          </cell>
          <cell r="G28">
            <v>1367833.0888186782</v>
          </cell>
          <cell r="H28">
            <v>71635.199999999983</v>
          </cell>
          <cell r="I28">
            <v>114556.69999999997</v>
          </cell>
          <cell r="J28">
            <v>162693.12223955529</v>
          </cell>
          <cell r="K28">
            <v>142848.82757993069</v>
          </cell>
          <cell r="L28">
            <v>99812.573099415196</v>
          </cell>
          <cell r="M28">
            <v>1959379.5117375792</v>
          </cell>
          <cell r="N28">
            <v>128000</v>
          </cell>
          <cell r="O28">
            <v>11709.845177664969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5468</v>
          </cell>
          <cell r="Z28">
            <v>2104557.3569152439</v>
          </cell>
        </row>
        <row r="29">
          <cell r="D29">
            <v>2344</v>
          </cell>
          <cell r="E29" t="str">
            <v>Carfield Primary School</v>
          </cell>
          <cell r="F29">
            <v>570</v>
          </cell>
          <cell r="G29">
            <v>1973835.0901940418</v>
          </cell>
          <cell r="H29">
            <v>55497.600000000086</v>
          </cell>
          <cell r="I29">
            <v>88027.78</v>
          </cell>
          <cell r="J29">
            <v>108766.90438521003</v>
          </cell>
          <cell r="K29">
            <v>129088.23529411765</v>
          </cell>
          <cell r="L29">
            <v>29802.515723270437</v>
          </cell>
          <cell r="M29">
            <v>2385018.1255966397</v>
          </cell>
          <cell r="N29">
            <v>128000</v>
          </cell>
          <cell r="O29">
            <v>4536.0000000000255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4877.7313595813293</v>
          </cell>
          <cell r="U29">
            <v>4877.7313595813293</v>
          </cell>
          <cell r="V29">
            <v>0</v>
          </cell>
          <cell r="W29">
            <v>0</v>
          </cell>
          <cell r="X29">
            <v>0</v>
          </cell>
          <cell r="Y29">
            <v>31488</v>
          </cell>
          <cell r="Z29">
            <v>2553919.8569562212</v>
          </cell>
        </row>
        <row r="30">
          <cell r="D30">
            <v>2023</v>
          </cell>
          <cell r="E30" t="str">
            <v>Carter Knowle Junior School</v>
          </cell>
          <cell r="F30">
            <v>236</v>
          </cell>
          <cell r="G30">
            <v>817236.9847119191</v>
          </cell>
          <cell r="H30">
            <v>12201.600000000015</v>
          </cell>
          <cell r="I30">
            <v>19293.759999999991</v>
          </cell>
          <cell r="J30">
            <v>4983.8542870303927</v>
          </cell>
          <cell r="K30">
            <v>55835.195871055112</v>
          </cell>
          <cell r="L30">
            <v>9859.9999999999945</v>
          </cell>
          <cell r="M30">
            <v>919411.39487000462</v>
          </cell>
          <cell r="N30">
            <v>128000</v>
          </cell>
          <cell r="O30">
            <v>1738.7999999999943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7393.2482129646205</v>
          </cell>
          <cell r="U30">
            <v>7393.2482129646205</v>
          </cell>
          <cell r="V30">
            <v>0</v>
          </cell>
          <cell r="W30">
            <v>0</v>
          </cell>
          <cell r="X30">
            <v>0</v>
          </cell>
          <cell r="Y30">
            <v>16466</v>
          </cell>
          <cell r="Z30">
            <v>1073009.4430829692</v>
          </cell>
        </row>
        <row r="31">
          <cell r="D31">
            <v>2354</v>
          </cell>
          <cell r="E31" t="str">
            <v>Charnock Hall Primary Academy</v>
          </cell>
          <cell r="F31">
            <v>407</v>
          </cell>
          <cell r="G31">
            <v>1409387.5117701315</v>
          </cell>
          <cell r="H31">
            <v>35423.999999999978</v>
          </cell>
          <cell r="I31">
            <v>56675.420000000006</v>
          </cell>
          <cell r="J31">
            <v>64521.906745229688</v>
          </cell>
          <cell r="K31">
            <v>132544.59702525078</v>
          </cell>
          <cell r="L31">
            <v>8163.4582132564847</v>
          </cell>
          <cell r="M31">
            <v>1706716.8937538683</v>
          </cell>
          <cell r="N31">
            <v>128000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4890</v>
          </cell>
          <cell r="Z31">
            <v>1839606.8937538683</v>
          </cell>
        </row>
        <row r="32">
          <cell r="D32">
            <v>5200</v>
          </cell>
          <cell r="E32" t="str">
            <v>Clifford All Saints CofE Primary School</v>
          </cell>
          <cell r="F32">
            <v>184</v>
          </cell>
          <cell r="G32">
            <v>637167.81858895381</v>
          </cell>
          <cell r="H32">
            <v>9446.4000000000251</v>
          </cell>
          <cell r="I32">
            <v>14470.320000000038</v>
          </cell>
          <cell r="J32">
            <v>16058.069959679577</v>
          </cell>
          <cell r="K32">
            <v>48550.909090909052</v>
          </cell>
          <cell r="L32">
            <v>12214.939759036124</v>
          </cell>
          <cell r="M32">
            <v>737908.45739857876</v>
          </cell>
          <cell r="N32">
            <v>128000</v>
          </cell>
          <cell r="O32">
            <v>7522.1999999999325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5537.2007666685795</v>
          </cell>
          <cell r="U32">
            <v>5537.2007666685795</v>
          </cell>
          <cell r="V32">
            <v>0</v>
          </cell>
          <cell r="W32">
            <v>51653.212802696493</v>
          </cell>
          <cell r="X32">
            <v>0</v>
          </cell>
          <cell r="Y32">
            <v>6323</v>
          </cell>
          <cell r="Z32">
            <v>936944.07096794399</v>
          </cell>
        </row>
        <row r="33">
          <cell r="D33">
            <v>2312</v>
          </cell>
          <cell r="E33" t="str">
            <v>Coit Primary School</v>
          </cell>
          <cell r="F33">
            <v>205</v>
          </cell>
          <cell r="G33">
            <v>709888.05875399755</v>
          </cell>
          <cell r="H33">
            <v>11414.399999999971</v>
          </cell>
          <cell r="I33">
            <v>18087.89999999998</v>
          </cell>
          <cell r="J33">
            <v>13954.792003685096</v>
          </cell>
          <cell r="K33">
            <v>57189.667630057767</v>
          </cell>
          <cell r="L33">
            <v>3397.1428571428605</v>
          </cell>
          <cell r="M33">
            <v>813931.96124488336</v>
          </cell>
          <cell r="N33">
            <v>128000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16467</v>
          </cell>
          <cell r="Z33">
            <v>958398.96124488336</v>
          </cell>
        </row>
        <row r="34">
          <cell r="D34">
            <v>2026</v>
          </cell>
          <cell r="E34" t="str">
            <v>Concord Junior School</v>
          </cell>
          <cell r="F34">
            <v>198</v>
          </cell>
          <cell r="G34">
            <v>685647.97869898297</v>
          </cell>
          <cell r="H34">
            <v>38179.200000000004</v>
          </cell>
          <cell r="I34">
            <v>59087.139999999992</v>
          </cell>
          <cell r="J34">
            <v>62366.763738618771</v>
          </cell>
          <cell r="K34">
            <v>89011.077844311338</v>
          </cell>
          <cell r="L34">
            <v>16239.999999999951</v>
          </cell>
          <cell r="M34">
            <v>950532.16028191312</v>
          </cell>
          <cell r="N34">
            <v>128000</v>
          </cell>
          <cell r="O34">
            <v>8618.3999999999869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3661</v>
          </cell>
          <cell r="Z34">
            <v>1090811.560281913</v>
          </cell>
        </row>
        <row r="35">
          <cell r="D35">
            <v>3422</v>
          </cell>
          <cell r="E35" t="str">
            <v>Deepcar St John's Church of England Junior School</v>
          </cell>
          <cell r="F35">
            <v>175</v>
          </cell>
          <cell r="G35">
            <v>606002.00137536367</v>
          </cell>
          <cell r="H35">
            <v>13382.39999999998</v>
          </cell>
          <cell r="I35">
            <v>22911.339999999982</v>
          </cell>
          <cell r="J35">
            <v>15326.495018464095</v>
          </cell>
          <cell r="K35">
            <v>54624.30011198204</v>
          </cell>
          <cell r="L35">
            <v>1739.9999999999957</v>
          </cell>
          <cell r="M35">
            <v>713986.53650580975</v>
          </cell>
          <cell r="N35">
            <v>128000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8470.0171888153145</v>
          </cell>
          <cell r="U35">
            <v>8470.0171888153145</v>
          </cell>
          <cell r="V35">
            <v>0</v>
          </cell>
          <cell r="W35">
            <v>0</v>
          </cell>
          <cell r="X35">
            <v>0</v>
          </cell>
          <cell r="Y35">
            <v>3277</v>
          </cell>
          <cell r="Z35">
            <v>853733.55369462527</v>
          </cell>
        </row>
        <row r="36">
          <cell r="D36">
            <v>2283</v>
          </cell>
          <cell r="E36" t="str">
            <v>Dobcroft Infant School</v>
          </cell>
          <cell r="F36">
            <v>269</v>
          </cell>
          <cell r="G36">
            <v>931511.6478284162</v>
          </cell>
          <cell r="H36">
            <v>2361.5999999999949</v>
          </cell>
          <cell r="I36">
            <v>3617.5799999999922</v>
          </cell>
          <cell r="J36">
            <v>466.37902502486241</v>
          </cell>
          <cell r="K36">
            <v>74963.347820416209</v>
          </cell>
          <cell r="L36">
            <v>28763.463687150786</v>
          </cell>
          <cell r="M36">
            <v>1041684.0183610079</v>
          </cell>
          <cell r="N36">
            <v>128000</v>
          </cell>
          <cell r="O36">
            <v>0</v>
          </cell>
          <cell r="P36">
            <v>15260.981638992174</v>
          </cell>
          <cell r="Q36">
            <v>15260.981638992174</v>
          </cell>
          <cell r="R36">
            <v>0</v>
          </cell>
          <cell r="S36">
            <v>0</v>
          </cell>
          <cell r="T36">
            <v>11630.026914297274</v>
          </cell>
          <cell r="U36">
            <v>11630.026914297274</v>
          </cell>
          <cell r="V36">
            <v>0</v>
          </cell>
          <cell r="W36">
            <v>0</v>
          </cell>
          <cell r="X36">
            <v>0</v>
          </cell>
          <cell r="Y36">
            <v>15590</v>
          </cell>
          <cell r="Z36">
            <v>1212165.0269142969</v>
          </cell>
        </row>
        <row r="37">
          <cell r="D37">
            <v>2239</v>
          </cell>
          <cell r="E37" t="str">
            <v>Dobcroft Junior School</v>
          </cell>
          <cell r="F37">
            <v>382</v>
          </cell>
          <cell r="G37">
            <v>1322815.7972879368</v>
          </cell>
          <cell r="H37">
            <v>7872.0000000000018</v>
          </cell>
          <cell r="I37">
            <v>12661.529999999999</v>
          </cell>
          <cell r="J37">
            <v>630.9833867983433</v>
          </cell>
          <cell r="K37">
            <v>61699.551451187326</v>
          </cell>
          <cell r="L37">
            <v>2320.0000000000055</v>
          </cell>
          <cell r="M37">
            <v>1407999.8621259225</v>
          </cell>
          <cell r="N37">
            <v>128000</v>
          </cell>
          <cell r="O37">
            <v>0</v>
          </cell>
          <cell r="P37">
            <v>146710.13787407751</v>
          </cell>
          <cell r="Q37">
            <v>146710.13787407751</v>
          </cell>
          <cell r="R37">
            <v>0</v>
          </cell>
          <cell r="S37">
            <v>0</v>
          </cell>
          <cell r="T37">
            <v>13239.462448687786</v>
          </cell>
          <cell r="U37">
            <v>13239.462448687786</v>
          </cell>
          <cell r="V37">
            <v>0</v>
          </cell>
          <cell r="W37">
            <v>0</v>
          </cell>
          <cell r="X37">
            <v>0</v>
          </cell>
          <cell r="Y37">
            <v>21530</v>
          </cell>
          <cell r="Z37">
            <v>1717479.4624486878</v>
          </cell>
        </row>
        <row r="38">
          <cell r="D38">
            <v>2364</v>
          </cell>
          <cell r="E38" t="str">
            <v>Dore Primary School</v>
          </cell>
          <cell r="F38">
            <v>448</v>
          </cell>
          <cell r="G38">
            <v>1551365.1235209312</v>
          </cell>
          <cell r="H38">
            <v>12595.199999999993</v>
          </cell>
          <cell r="I38">
            <v>19896.690000000002</v>
          </cell>
          <cell r="J38">
            <v>1865.5161000994499</v>
          </cell>
          <cell r="K38">
            <v>104759.28605059267</v>
          </cell>
          <cell r="L38">
            <v>9351.5681233933192</v>
          </cell>
          <cell r="M38">
            <v>1699833.3837950164</v>
          </cell>
          <cell r="N38">
            <v>128000</v>
          </cell>
          <cell r="O38">
            <v>0</v>
          </cell>
          <cell r="P38">
            <v>145606.61620498364</v>
          </cell>
          <cell r="Q38">
            <v>145606.61620498364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30208</v>
          </cell>
          <cell r="Z38">
            <v>2003648</v>
          </cell>
        </row>
        <row r="39">
          <cell r="D39">
            <v>2016</v>
          </cell>
          <cell r="E39" t="str">
            <v>E-ACT Pathways Academy</v>
          </cell>
          <cell r="F39">
            <v>365</v>
          </cell>
          <cell r="G39">
            <v>1263947.0314400443</v>
          </cell>
          <cell r="H39">
            <v>84623.999999999985</v>
          </cell>
          <cell r="I39">
            <v>132041.66999999998</v>
          </cell>
          <cell r="J39">
            <v>167393.49123686485</v>
          </cell>
          <cell r="K39">
            <v>160770.12711864401</v>
          </cell>
          <cell r="L39">
            <v>30804.643962848368</v>
          </cell>
          <cell r="M39">
            <v>1839580.9637584016</v>
          </cell>
          <cell r="N39">
            <v>128000</v>
          </cell>
          <cell r="O39">
            <v>24914.41735537201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6451</v>
          </cell>
          <cell r="Z39">
            <v>1998946.3811137737</v>
          </cell>
        </row>
        <row r="40">
          <cell r="D40">
            <v>2206</v>
          </cell>
          <cell r="E40" t="str">
            <v>Ecclesall Primary School</v>
          </cell>
          <cell r="F40">
            <v>620</v>
          </cell>
          <cell r="G40">
            <v>2146978.5191584313</v>
          </cell>
          <cell r="H40">
            <v>10627.2</v>
          </cell>
          <cell r="I40">
            <v>19293.760000000017</v>
          </cell>
          <cell r="J40">
            <v>4352.8709002320502</v>
          </cell>
          <cell r="K40">
            <v>84315.311909262702</v>
          </cell>
          <cell r="L40">
            <v>26019.294990723571</v>
          </cell>
          <cell r="M40">
            <v>2291586.9569586497</v>
          </cell>
          <cell r="N40">
            <v>128000</v>
          </cell>
          <cell r="O40">
            <v>0</v>
          </cell>
          <cell r="P40">
            <v>311513.0430413502</v>
          </cell>
          <cell r="Q40">
            <v>311513.0430413502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60928</v>
          </cell>
          <cell r="Z40">
            <v>2792028</v>
          </cell>
        </row>
        <row r="41">
          <cell r="D41">
            <v>2080</v>
          </cell>
          <cell r="E41" t="str">
            <v>Ecclesfield Primary School</v>
          </cell>
          <cell r="F41">
            <v>395</v>
          </cell>
          <cell r="G41">
            <v>1367833.0888186782</v>
          </cell>
          <cell r="H41">
            <v>46051.200000000055</v>
          </cell>
          <cell r="I41">
            <v>71748.669999999969</v>
          </cell>
          <cell r="J41">
            <v>89572.206865069005</v>
          </cell>
          <cell r="K41">
            <v>120226.19705865599</v>
          </cell>
          <cell r="L41">
            <v>6136.6071428571468</v>
          </cell>
          <cell r="M41">
            <v>1701567.9698852601</v>
          </cell>
          <cell r="N41">
            <v>128000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22330</v>
          </cell>
          <cell r="Z41">
            <v>1851897.9698852601</v>
          </cell>
        </row>
        <row r="42">
          <cell r="D42">
            <v>2024</v>
          </cell>
          <cell r="E42" t="str">
            <v>Emmanuel Anglican/Methodist Junior School</v>
          </cell>
          <cell r="F42">
            <v>173</v>
          </cell>
          <cell r="G42">
            <v>599076.26421678811</v>
          </cell>
          <cell r="H42">
            <v>26371.200000000019</v>
          </cell>
          <cell r="I42">
            <v>42205.099999999955</v>
          </cell>
          <cell r="J42">
            <v>29939.704469243072</v>
          </cell>
          <cell r="K42">
            <v>74354.058171745128</v>
          </cell>
          <cell r="L42">
            <v>580.00000000000011</v>
          </cell>
          <cell r="M42">
            <v>772526.32685777638</v>
          </cell>
          <cell r="N42">
            <v>128000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6144</v>
          </cell>
          <cell r="Z42">
            <v>906670.32685777638</v>
          </cell>
        </row>
        <row r="43">
          <cell r="D43">
            <v>2028</v>
          </cell>
          <cell r="E43" t="str">
            <v>Emmaus Catholic and CofE Primary School</v>
          </cell>
          <cell r="F43">
            <v>293</v>
          </cell>
          <cell r="G43">
            <v>1014620.4937313233</v>
          </cell>
          <cell r="H43">
            <v>53136.000000000015</v>
          </cell>
          <cell r="I43">
            <v>83807.270000000062</v>
          </cell>
          <cell r="J43">
            <v>127092.85666265762</v>
          </cell>
          <cell r="K43">
            <v>126849.39743021701</v>
          </cell>
          <cell r="L43">
            <v>41336.756756756717</v>
          </cell>
          <cell r="M43">
            <v>1446842.7745809548</v>
          </cell>
          <cell r="N43">
            <v>128000</v>
          </cell>
          <cell r="O43">
            <v>5121.9000000000124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8346</v>
          </cell>
          <cell r="Z43">
            <v>1588310.6745809547</v>
          </cell>
        </row>
        <row r="44">
          <cell r="D44">
            <v>2010</v>
          </cell>
          <cell r="E44" t="str">
            <v>Fox Hill Primary</v>
          </cell>
          <cell r="F44">
            <v>274</v>
          </cell>
          <cell r="G44">
            <v>948825.99072485522</v>
          </cell>
          <cell r="H44">
            <v>59040.000000000036</v>
          </cell>
          <cell r="I44">
            <v>90439.500000000058</v>
          </cell>
          <cell r="J44">
            <v>113522.14150311063</v>
          </cell>
          <cell r="K44">
            <v>140477.69230769231</v>
          </cell>
          <cell r="L44">
            <v>6034.9367088607596</v>
          </cell>
          <cell r="M44">
            <v>1358340.2612445189</v>
          </cell>
          <cell r="N44">
            <v>128000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63090.654120800129</v>
          </cell>
          <cell r="U44">
            <v>63090.654120800129</v>
          </cell>
          <cell r="V44">
            <v>0</v>
          </cell>
          <cell r="W44">
            <v>0</v>
          </cell>
          <cell r="X44">
            <v>0</v>
          </cell>
          <cell r="Y44">
            <v>7987</v>
          </cell>
          <cell r="Z44">
            <v>1557417.915365319</v>
          </cell>
        </row>
        <row r="45">
          <cell r="D45">
            <v>2036</v>
          </cell>
          <cell r="E45" t="str">
            <v>Gleadless Primary School</v>
          </cell>
          <cell r="F45">
            <v>398</v>
          </cell>
          <cell r="G45">
            <v>1378221.6945565415</v>
          </cell>
          <cell r="H45">
            <v>46838.400000000016</v>
          </cell>
          <cell r="I45">
            <v>74763.320000000094</v>
          </cell>
          <cell r="J45">
            <v>78552.859313011126</v>
          </cell>
          <cell r="K45">
            <v>137050.11025232996</v>
          </cell>
          <cell r="L45">
            <v>13578.823529411764</v>
          </cell>
          <cell r="M45">
            <v>1729005.2076512945</v>
          </cell>
          <cell r="N45">
            <v>128000</v>
          </cell>
          <cell r="O45">
            <v>113.3999999999842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32256</v>
          </cell>
          <cell r="Z45">
            <v>1889374.6076512944</v>
          </cell>
        </row>
        <row r="46">
          <cell r="D46">
            <v>2305</v>
          </cell>
          <cell r="E46" t="str">
            <v>Greengate Lane Academy</v>
          </cell>
          <cell r="F46">
            <v>190</v>
          </cell>
          <cell r="G46">
            <v>657945.03006468061</v>
          </cell>
          <cell r="H46">
            <v>42902.400000000016</v>
          </cell>
          <cell r="I46">
            <v>67528.15999999996</v>
          </cell>
          <cell r="J46">
            <v>55407.657110306616</v>
          </cell>
          <cell r="K46">
            <v>54632.307692307651</v>
          </cell>
          <cell r="L46">
            <v>4619.1616766467105</v>
          </cell>
          <cell r="M46">
            <v>883034.71654394153</v>
          </cell>
          <cell r="N46">
            <v>128000</v>
          </cell>
          <cell r="O46">
            <v>3401.9999999999945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19530.647009126307</v>
          </cell>
          <cell r="U46">
            <v>19530.647009126307</v>
          </cell>
          <cell r="V46">
            <v>0</v>
          </cell>
          <cell r="W46">
            <v>0</v>
          </cell>
          <cell r="X46">
            <v>0</v>
          </cell>
          <cell r="Y46">
            <v>3968</v>
          </cell>
          <cell r="Z46">
            <v>1037935.363553068</v>
          </cell>
        </row>
        <row r="47">
          <cell r="D47">
            <v>2341</v>
          </cell>
          <cell r="E47" t="str">
            <v>Greenhill Primary School</v>
          </cell>
          <cell r="F47">
            <v>468</v>
          </cell>
          <cell r="G47">
            <v>1620622.4951066871</v>
          </cell>
          <cell r="H47">
            <v>66124.799999999988</v>
          </cell>
          <cell r="I47">
            <v>102498.09999999992</v>
          </cell>
          <cell r="J47">
            <v>92452.78319610504</v>
          </cell>
          <cell r="K47">
            <v>142924.73684210543</v>
          </cell>
          <cell r="L47">
            <v>19241.316455696207</v>
          </cell>
          <cell r="M47">
            <v>2043864.2316005935</v>
          </cell>
          <cell r="N47">
            <v>128000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6400</v>
          </cell>
          <cell r="Z47">
            <v>2178264.2316005938</v>
          </cell>
        </row>
        <row r="48">
          <cell r="D48">
            <v>2296</v>
          </cell>
          <cell r="E48" t="str">
            <v>Grenoside Community Primary School</v>
          </cell>
          <cell r="F48">
            <v>322</v>
          </cell>
          <cell r="G48">
            <v>1115043.6825306693</v>
          </cell>
          <cell r="H48">
            <v>28339.200000000037</v>
          </cell>
          <cell r="I48">
            <v>44013.890000000101</v>
          </cell>
          <cell r="J48">
            <v>55782.589267679577</v>
          </cell>
          <cell r="K48">
            <v>69818.26923076922</v>
          </cell>
          <cell r="L48">
            <v>2716.5090909090827</v>
          </cell>
          <cell r="M48">
            <v>1315714.1401200271</v>
          </cell>
          <cell r="N48">
            <v>128000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171609.88714035891</v>
          </cell>
          <cell r="W48">
            <v>0</v>
          </cell>
          <cell r="X48">
            <v>0</v>
          </cell>
          <cell r="Y48">
            <v>42240</v>
          </cell>
          <cell r="Z48">
            <v>1657564.0272603859</v>
          </cell>
        </row>
        <row r="49">
          <cell r="D49">
            <v>2356</v>
          </cell>
          <cell r="E49" t="str">
            <v>Greystones Primary School</v>
          </cell>
          <cell r="F49">
            <v>613</v>
          </cell>
          <cell r="G49">
            <v>2122738.4391034171</v>
          </cell>
          <cell r="H49">
            <v>17318.399999999987</v>
          </cell>
          <cell r="I49">
            <v>28337.71</v>
          </cell>
          <cell r="J49">
            <v>15198.469403751396</v>
          </cell>
          <cell r="K49">
            <v>122701.56920077953</v>
          </cell>
          <cell r="L49">
            <v>25491.547169811329</v>
          </cell>
          <cell r="M49">
            <v>2331786.134877759</v>
          </cell>
          <cell r="N49">
            <v>128000</v>
          </cell>
          <cell r="O49">
            <v>0</v>
          </cell>
          <cell r="P49">
            <v>240478.8651222405</v>
          </cell>
          <cell r="Q49">
            <v>240478.8651222405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46592</v>
          </cell>
          <cell r="Z49">
            <v>2746856.9999999986</v>
          </cell>
        </row>
        <row r="50">
          <cell r="D50">
            <v>2279</v>
          </cell>
          <cell r="E50" t="str">
            <v>Halfway Junior School</v>
          </cell>
          <cell r="F50">
            <v>206</v>
          </cell>
          <cell r="G50">
            <v>713350.92733328533</v>
          </cell>
          <cell r="H50">
            <v>23615.999999999993</v>
          </cell>
          <cell r="I50">
            <v>37381.660000000025</v>
          </cell>
          <cell r="J50">
            <v>23035.465961522117</v>
          </cell>
          <cell r="K50">
            <v>53498.753196930898</v>
          </cell>
          <cell r="L50">
            <v>1739.9999999999995</v>
          </cell>
          <cell r="M50">
            <v>852622.8064917383</v>
          </cell>
          <cell r="N50">
            <v>128000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14970</v>
          </cell>
          <cell r="Z50">
            <v>995592.8064917383</v>
          </cell>
        </row>
        <row r="51">
          <cell r="D51">
            <v>2252</v>
          </cell>
          <cell r="E51" t="str">
            <v>Halfway Nursery Infant School</v>
          </cell>
          <cell r="F51">
            <v>157</v>
          </cell>
          <cell r="G51">
            <v>543670.36694818351</v>
          </cell>
          <cell r="H51">
            <v>19680.000000000007</v>
          </cell>
          <cell r="I51">
            <v>30146.500000000011</v>
          </cell>
          <cell r="J51">
            <v>19496.472183392267</v>
          </cell>
          <cell r="K51">
            <v>58325.258448431574</v>
          </cell>
          <cell r="L51">
            <v>4295.2830188679227</v>
          </cell>
          <cell r="M51">
            <v>675613.88059887534</v>
          </cell>
          <cell r="N51">
            <v>128000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12475</v>
          </cell>
          <cell r="Z51">
            <v>816088.88059887534</v>
          </cell>
        </row>
        <row r="52">
          <cell r="D52">
            <v>2357</v>
          </cell>
          <cell r="E52" t="str">
            <v>Hallam Primary School</v>
          </cell>
          <cell r="F52">
            <v>633</v>
          </cell>
          <cell r="G52">
            <v>2191995.8106891727</v>
          </cell>
          <cell r="H52">
            <v>22041.599999999988</v>
          </cell>
          <cell r="I52">
            <v>33764.07999999998</v>
          </cell>
          <cell r="J52">
            <v>15975.767778792848</v>
          </cell>
          <cell r="K52">
            <v>146627.97863454503</v>
          </cell>
          <cell r="L52">
            <v>26320.698529411755</v>
          </cell>
          <cell r="M52">
            <v>2436725.9356319224</v>
          </cell>
          <cell r="N52">
            <v>128000</v>
          </cell>
          <cell r="O52">
            <v>0</v>
          </cell>
          <cell r="P52">
            <v>223639.06436807764</v>
          </cell>
          <cell r="Q52">
            <v>223639.06436807764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8192</v>
          </cell>
          <cell r="Z52">
            <v>2796557</v>
          </cell>
        </row>
        <row r="53">
          <cell r="D53">
            <v>2050</v>
          </cell>
          <cell r="E53" t="str">
            <v>Hartley Brook Primary School</v>
          </cell>
          <cell r="F53">
            <v>570</v>
          </cell>
          <cell r="G53">
            <v>1973835.0901940418</v>
          </cell>
          <cell r="H53">
            <v>128313.60000000008</v>
          </cell>
          <cell r="I53">
            <v>202584.47999999989</v>
          </cell>
          <cell r="J53">
            <v>276626.77464709955</v>
          </cell>
          <cell r="K53">
            <v>264933.19672131154</v>
          </cell>
          <cell r="L53">
            <v>28919.284294234592</v>
          </cell>
          <cell r="M53">
            <v>2875212.4258566876</v>
          </cell>
          <cell r="N53">
            <v>128000</v>
          </cell>
          <cell r="O53">
            <v>2646.0000000000055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7168</v>
          </cell>
          <cell r="Z53">
            <v>3013026.4258566876</v>
          </cell>
        </row>
        <row r="54">
          <cell r="D54">
            <v>2049</v>
          </cell>
          <cell r="E54" t="str">
            <v>Hatfield Academy</v>
          </cell>
          <cell r="F54">
            <v>374</v>
          </cell>
          <cell r="G54">
            <v>1295112.8486536345</v>
          </cell>
          <cell r="H54">
            <v>86985.60000000002</v>
          </cell>
          <cell r="I54">
            <v>136865.10999999999</v>
          </cell>
          <cell r="J54">
            <v>171435.44278708025</v>
          </cell>
          <cell r="K54">
            <v>181070.13157894745</v>
          </cell>
          <cell r="L54">
            <v>57480.378548895998</v>
          </cell>
          <cell r="M54">
            <v>1928949.5115685582</v>
          </cell>
          <cell r="N54">
            <v>128000</v>
          </cell>
          <cell r="O54">
            <v>20374.199999999855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5120</v>
          </cell>
          <cell r="Z54">
            <v>2082443.7115685579</v>
          </cell>
        </row>
        <row r="55">
          <cell r="D55">
            <v>2297</v>
          </cell>
          <cell r="E55" t="str">
            <v>High Green Primary School</v>
          </cell>
          <cell r="F55">
            <v>194</v>
          </cell>
          <cell r="G55">
            <v>671796.50438183174</v>
          </cell>
          <cell r="H55">
            <v>11414.399999999981</v>
          </cell>
          <cell r="I55">
            <v>18087.900000000001</v>
          </cell>
          <cell r="J55">
            <v>21992.971670290113</v>
          </cell>
          <cell r="K55">
            <v>86590.665873959573</v>
          </cell>
          <cell r="L55">
            <v>0</v>
          </cell>
          <cell r="M55">
            <v>809882.44192608143</v>
          </cell>
          <cell r="N55">
            <v>128000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10853</v>
          </cell>
          <cell r="Z55">
            <v>948735.44192608143</v>
          </cell>
        </row>
        <row r="56">
          <cell r="D56">
            <v>2042</v>
          </cell>
          <cell r="E56" t="str">
            <v>High Hazels Junior School</v>
          </cell>
          <cell r="F56">
            <v>356</v>
          </cell>
          <cell r="G56">
            <v>1232781.2142264543</v>
          </cell>
          <cell r="H56">
            <v>63369.600000000006</v>
          </cell>
          <cell r="I56">
            <v>97674.66</v>
          </cell>
          <cell r="J56">
            <v>144001.38249150026</v>
          </cell>
          <cell r="K56">
            <v>125226.42225937436</v>
          </cell>
          <cell r="L56">
            <v>53360.000000000044</v>
          </cell>
          <cell r="M56">
            <v>1716413.2789773289</v>
          </cell>
          <cell r="N56">
            <v>128000</v>
          </cell>
          <cell r="O56">
            <v>604.80000000001189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5174</v>
          </cell>
          <cell r="Z56">
            <v>1850192.0789773287</v>
          </cell>
        </row>
        <row r="57">
          <cell r="D57">
            <v>2039</v>
          </cell>
          <cell r="E57" t="str">
            <v>High Hazels Nursery Infant Academy</v>
          </cell>
          <cell r="F57">
            <v>248</v>
          </cell>
          <cell r="G57">
            <v>858791.40766337258</v>
          </cell>
          <cell r="H57">
            <v>47232.000000000044</v>
          </cell>
          <cell r="I57">
            <v>72351.600000000064</v>
          </cell>
          <cell r="J57">
            <v>100006.29446415477</v>
          </cell>
          <cell r="K57">
            <v>77147.332858789014</v>
          </cell>
          <cell r="L57">
            <v>116650.73170731713</v>
          </cell>
          <cell r="M57">
            <v>1272179.3666936336</v>
          </cell>
          <cell r="N57">
            <v>128000</v>
          </cell>
          <cell r="O57">
            <v>5944.7414634146398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3478</v>
          </cell>
          <cell r="Z57">
            <v>1409602.1081570485</v>
          </cell>
        </row>
        <row r="58">
          <cell r="D58">
            <v>2339</v>
          </cell>
          <cell r="E58" t="str">
            <v>Hillsborough Primary School</v>
          </cell>
          <cell r="F58">
            <v>340</v>
          </cell>
          <cell r="G58">
            <v>1177375.3169578495</v>
          </cell>
          <cell r="H58">
            <v>58646.399999999987</v>
          </cell>
          <cell r="I58">
            <v>93454.149999999907</v>
          </cell>
          <cell r="J58">
            <v>101652.33808188954</v>
          </cell>
          <cell r="K58">
            <v>140011.8845500848</v>
          </cell>
          <cell r="L58">
            <v>28826.578073089604</v>
          </cell>
          <cell r="M58">
            <v>1599966.6676629134</v>
          </cell>
          <cell r="N58">
            <v>128000</v>
          </cell>
          <cell r="O58">
            <v>4416.6902654867308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4992</v>
          </cell>
          <cell r="Z58">
            <v>1737375.3579284004</v>
          </cell>
        </row>
        <row r="59">
          <cell r="D59">
            <v>2213</v>
          </cell>
          <cell r="E59" t="str">
            <v>Holt House Infant School</v>
          </cell>
          <cell r="F59">
            <v>179</v>
          </cell>
          <cell r="G59">
            <v>619853.47569251491</v>
          </cell>
          <cell r="H59">
            <v>10233.600000000022</v>
          </cell>
          <cell r="I59">
            <v>15676.180000000033</v>
          </cell>
          <cell r="J59">
            <v>6995.6853753729265</v>
          </cell>
          <cell r="K59">
            <v>49365.267335034921</v>
          </cell>
          <cell r="L59">
            <v>7786.4999999999991</v>
          </cell>
          <cell r="M59">
            <v>709910.70840292273</v>
          </cell>
          <cell r="N59">
            <v>128000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12935.419240344614</v>
          </cell>
          <cell r="U59">
            <v>12935.419240344614</v>
          </cell>
          <cell r="V59">
            <v>0</v>
          </cell>
          <cell r="W59">
            <v>0</v>
          </cell>
          <cell r="X59">
            <v>0</v>
          </cell>
          <cell r="Y59">
            <v>13099</v>
          </cell>
          <cell r="Z59">
            <v>863945.12764326716</v>
          </cell>
        </row>
        <row r="60">
          <cell r="D60">
            <v>2337</v>
          </cell>
          <cell r="E60" t="str">
            <v>Hucklow Primary School</v>
          </cell>
          <cell r="F60">
            <v>407</v>
          </cell>
          <cell r="G60">
            <v>1409387.5117701315</v>
          </cell>
          <cell r="H60">
            <v>72422.39999999998</v>
          </cell>
          <cell r="I60">
            <v>113350.84000000001</v>
          </cell>
          <cell r="J60">
            <v>170722.15721939516</v>
          </cell>
          <cell r="K60">
            <v>226693.22910447748</v>
          </cell>
          <cell r="L60">
            <v>94288.333333333372</v>
          </cell>
          <cell r="M60">
            <v>2086864.4714273377</v>
          </cell>
          <cell r="N60">
            <v>128000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4736</v>
          </cell>
          <cell r="Z60">
            <v>2219600.4714273377</v>
          </cell>
        </row>
        <row r="61">
          <cell r="D61">
            <v>2060</v>
          </cell>
          <cell r="E61" t="str">
            <v>Hunter's Bar Infant School</v>
          </cell>
          <cell r="F61">
            <v>269</v>
          </cell>
          <cell r="G61">
            <v>931511.6478284162</v>
          </cell>
          <cell r="H61">
            <v>7478.4000000000051</v>
          </cell>
          <cell r="I61">
            <v>11455.670000000007</v>
          </cell>
          <cell r="J61">
            <v>9373.3039343232067</v>
          </cell>
          <cell r="K61">
            <v>89853.103163019754</v>
          </cell>
          <cell r="L61">
            <v>35537.888888888927</v>
          </cell>
          <cell r="M61">
            <v>1085210.0138146481</v>
          </cell>
          <cell r="N61">
            <v>128000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32261.814107214541</v>
          </cell>
          <cell r="U61">
            <v>32261.814107214541</v>
          </cell>
          <cell r="V61">
            <v>0</v>
          </cell>
          <cell r="W61">
            <v>0</v>
          </cell>
          <cell r="X61">
            <v>0</v>
          </cell>
          <cell r="Y61">
            <v>13347</v>
          </cell>
          <cell r="Z61">
            <v>1258818.8279218627</v>
          </cell>
        </row>
        <row r="62">
          <cell r="D62">
            <v>2058</v>
          </cell>
          <cell r="E62" t="str">
            <v>Hunter's Bar Junior School</v>
          </cell>
          <cell r="F62">
            <v>362</v>
          </cell>
          <cell r="G62">
            <v>1253558.4257021809</v>
          </cell>
          <cell r="H62">
            <v>20467.199999999997</v>
          </cell>
          <cell r="I62">
            <v>31352.359999999997</v>
          </cell>
          <cell r="J62">
            <v>25522.820761654733</v>
          </cell>
          <cell r="K62">
            <v>105467.74224527036</v>
          </cell>
          <cell r="L62">
            <v>20300.000000000004</v>
          </cell>
          <cell r="M62">
            <v>1456668.5487091062</v>
          </cell>
          <cell r="N62">
            <v>128000</v>
          </cell>
          <cell r="O62">
            <v>0</v>
          </cell>
          <cell r="P62">
            <v>9941.4512908938668</v>
          </cell>
          <cell r="Q62">
            <v>9941.4512908938668</v>
          </cell>
          <cell r="R62">
            <v>0</v>
          </cell>
          <cell r="S62">
            <v>0</v>
          </cell>
          <cell r="T62">
            <v>2959.8575880679064</v>
          </cell>
          <cell r="U62">
            <v>2959.8575880679064</v>
          </cell>
          <cell r="V62">
            <v>0</v>
          </cell>
          <cell r="W62">
            <v>0</v>
          </cell>
          <cell r="X62">
            <v>0</v>
          </cell>
          <cell r="Y62">
            <v>20189</v>
          </cell>
          <cell r="Z62">
            <v>1617758.8575880683</v>
          </cell>
        </row>
        <row r="63">
          <cell r="D63">
            <v>2063</v>
          </cell>
          <cell r="E63" t="str">
            <v>Intake Primary School</v>
          </cell>
          <cell r="F63">
            <v>413</v>
          </cell>
          <cell r="G63">
            <v>1430164.7232458584</v>
          </cell>
          <cell r="H63">
            <v>45264.000000000007</v>
          </cell>
          <cell r="I63">
            <v>69336.950000000012</v>
          </cell>
          <cell r="J63">
            <v>79321.0130012874</v>
          </cell>
          <cell r="K63">
            <v>102462.42874377931</v>
          </cell>
          <cell r="L63">
            <v>4071.5014164305958</v>
          </cell>
          <cell r="M63">
            <v>1730620.6164073555</v>
          </cell>
          <cell r="N63">
            <v>128000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27648</v>
          </cell>
          <cell r="Z63">
            <v>1886268.6164073555</v>
          </cell>
        </row>
        <row r="64">
          <cell r="D64">
            <v>2261</v>
          </cell>
          <cell r="E64" t="str">
            <v>Limpsfield Junior School</v>
          </cell>
          <cell r="F64">
            <v>225</v>
          </cell>
          <cell r="G64">
            <v>779145.43033975339</v>
          </cell>
          <cell r="H64">
            <v>28339.199999999997</v>
          </cell>
          <cell r="I64">
            <v>47028.540000000037</v>
          </cell>
          <cell r="J64">
            <v>66847.660253563532</v>
          </cell>
          <cell r="K64">
            <v>93546.126760563362</v>
          </cell>
          <cell r="L64">
            <v>18559.999999999971</v>
          </cell>
          <cell r="M64">
            <v>1033466.9573538803</v>
          </cell>
          <cell r="N64">
            <v>128000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17590</v>
          </cell>
          <cell r="Z64">
            <v>1179056.9573538802</v>
          </cell>
        </row>
        <row r="65">
          <cell r="D65">
            <v>2315</v>
          </cell>
          <cell r="E65" t="str">
            <v>Lound Infant School</v>
          </cell>
          <cell r="F65">
            <v>148</v>
          </cell>
          <cell r="G65">
            <v>512504.54973459331</v>
          </cell>
          <cell r="H65">
            <v>11414.400000000001</v>
          </cell>
          <cell r="I65">
            <v>18087.900000000023</v>
          </cell>
          <cell r="J65">
            <v>7233.4472312679618</v>
          </cell>
          <cell r="K65">
            <v>59526.112714949144</v>
          </cell>
          <cell r="L65">
            <v>6936.5656565656554</v>
          </cell>
          <cell r="M65">
            <v>615702.97533737624</v>
          </cell>
          <cell r="N65">
            <v>128000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3021</v>
          </cell>
          <cell r="Z65">
            <v>746723.97533737624</v>
          </cell>
        </row>
        <row r="66">
          <cell r="D66">
            <v>2298</v>
          </cell>
          <cell r="E66" t="str">
            <v>Lound Junior School</v>
          </cell>
          <cell r="F66">
            <v>211</v>
          </cell>
          <cell r="G66">
            <v>730665.27022972424</v>
          </cell>
          <cell r="H66">
            <v>10627.20000000001</v>
          </cell>
          <cell r="I66">
            <v>16882.040000000012</v>
          </cell>
          <cell r="J66">
            <v>10004.287321121556</v>
          </cell>
          <cell r="K66">
            <v>61239.406053683626</v>
          </cell>
          <cell r="L66">
            <v>2900.0000000000027</v>
          </cell>
          <cell r="M66">
            <v>832318.20360452938</v>
          </cell>
          <cell r="N66">
            <v>128000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2614.6940236147384</v>
          </cell>
          <cell r="U66">
            <v>2614.6940236147384</v>
          </cell>
          <cell r="V66">
            <v>0</v>
          </cell>
          <cell r="W66">
            <v>0</v>
          </cell>
          <cell r="X66">
            <v>0</v>
          </cell>
          <cell r="Y66">
            <v>3174</v>
          </cell>
          <cell r="Z66">
            <v>966106.89762814413</v>
          </cell>
        </row>
        <row r="67">
          <cell r="D67">
            <v>2029</v>
          </cell>
          <cell r="E67" t="str">
            <v>Lowedges Junior Academy</v>
          </cell>
          <cell r="F67">
            <v>299</v>
          </cell>
          <cell r="G67">
            <v>1035397.7052070501</v>
          </cell>
          <cell r="H67">
            <v>82262.400000000023</v>
          </cell>
          <cell r="I67">
            <v>127218.23</v>
          </cell>
          <cell r="J67">
            <v>118661.45546514925</v>
          </cell>
          <cell r="K67">
            <v>111825.99999999993</v>
          </cell>
          <cell r="L67">
            <v>22904.528301886756</v>
          </cell>
          <cell r="M67">
            <v>1498270.3189740861</v>
          </cell>
          <cell r="N67">
            <v>128000</v>
          </cell>
          <cell r="O67">
            <v>8561.6999999999989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4685</v>
          </cell>
          <cell r="Z67">
            <v>1639517.0189740863</v>
          </cell>
        </row>
        <row r="68">
          <cell r="D68">
            <v>2045</v>
          </cell>
          <cell r="E68" t="str">
            <v>Lower Meadow Primary School</v>
          </cell>
          <cell r="F68">
            <v>259</v>
          </cell>
          <cell r="G68">
            <v>896882.96203553828</v>
          </cell>
          <cell r="H68">
            <v>72422.399999999951</v>
          </cell>
          <cell r="I68">
            <v>112747.90999999999</v>
          </cell>
          <cell r="J68">
            <v>106178.9580306603</v>
          </cell>
          <cell r="K68">
            <v>124164.35096153838</v>
          </cell>
          <cell r="L68">
            <v>16691.111111111091</v>
          </cell>
          <cell r="M68">
            <v>1329087.6921388479</v>
          </cell>
          <cell r="N68">
            <v>128000</v>
          </cell>
          <cell r="O68">
            <v>15671.909302325586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5325</v>
          </cell>
          <cell r="Z68">
            <v>1478084.6014411733</v>
          </cell>
        </row>
        <row r="69">
          <cell r="D69">
            <v>2070</v>
          </cell>
          <cell r="E69" t="str">
            <v>Lowfield Community Primary School</v>
          </cell>
          <cell r="F69">
            <v>379</v>
          </cell>
          <cell r="G69">
            <v>1312427.1915500734</v>
          </cell>
          <cell r="H69">
            <v>61795.199999999924</v>
          </cell>
          <cell r="I69">
            <v>99483.449999999895</v>
          </cell>
          <cell r="J69">
            <v>105593.69807768786</v>
          </cell>
          <cell r="K69">
            <v>129897.26315789476</v>
          </cell>
          <cell r="L69">
            <v>111258.58895705514</v>
          </cell>
          <cell r="M69">
            <v>1820455.3917427112</v>
          </cell>
          <cell r="N69">
            <v>128000</v>
          </cell>
          <cell r="O69">
            <v>27650.70000000003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24202</v>
          </cell>
          <cell r="Z69">
            <v>2000308.0917427114</v>
          </cell>
        </row>
        <row r="70">
          <cell r="D70">
            <v>2292</v>
          </cell>
          <cell r="E70" t="str">
            <v>Loxley Primary School</v>
          </cell>
          <cell r="F70">
            <v>210</v>
          </cell>
          <cell r="G70">
            <v>727202.40165043646</v>
          </cell>
          <cell r="H70">
            <v>7871.9999999999964</v>
          </cell>
          <cell r="I70">
            <v>12058.599999999995</v>
          </cell>
          <cell r="J70">
            <v>7846.1412445359147</v>
          </cell>
          <cell r="K70">
            <v>37073.217745060036</v>
          </cell>
          <cell r="L70">
            <v>1353.3333333333319</v>
          </cell>
          <cell r="M70">
            <v>793405.69397336571</v>
          </cell>
          <cell r="N70">
            <v>128000</v>
          </cell>
          <cell r="O70">
            <v>0</v>
          </cell>
          <cell r="P70">
            <v>3644.3060266342127</v>
          </cell>
          <cell r="Q70">
            <v>3644.3060266342127</v>
          </cell>
          <cell r="R70">
            <v>0</v>
          </cell>
          <cell r="S70">
            <v>0</v>
          </cell>
          <cell r="T70">
            <v>3217.3859580554217</v>
          </cell>
          <cell r="U70">
            <v>3217.3859580554217</v>
          </cell>
          <cell r="V70">
            <v>0</v>
          </cell>
          <cell r="W70">
            <v>0</v>
          </cell>
          <cell r="X70">
            <v>0</v>
          </cell>
          <cell r="Y70">
            <v>2893</v>
          </cell>
          <cell r="Z70">
            <v>931160.38595805573</v>
          </cell>
        </row>
        <row r="71">
          <cell r="D71">
            <v>2072</v>
          </cell>
          <cell r="E71" t="str">
            <v>Lydgate Infant School</v>
          </cell>
          <cell r="F71">
            <v>344</v>
          </cell>
          <cell r="G71">
            <v>1191226.7912750007</v>
          </cell>
          <cell r="H71">
            <v>10233.599999999999</v>
          </cell>
          <cell r="I71">
            <v>15676.179999999998</v>
          </cell>
          <cell r="J71">
            <v>6136.0848194447544</v>
          </cell>
          <cell r="K71">
            <v>111909.46952034588</v>
          </cell>
          <cell r="L71">
            <v>50725.423728813512</v>
          </cell>
          <cell r="M71">
            <v>1385907.5493436046</v>
          </cell>
          <cell r="N71">
            <v>128000</v>
          </cell>
          <cell r="O71">
            <v>0</v>
          </cell>
          <cell r="P71">
            <v>1412.4506563954274</v>
          </cell>
          <cell r="Q71">
            <v>1412.4506563954274</v>
          </cell>
          <cell r="R71">
            <v>0</v>
          </cell>
          <cell r="S71">
            <v>0</v>
          </cell>
          <cell r="T71">
            <v>16740.733737470411</v>
          </cell>
          <cell r="U71">
            <v>16740.733737470411</v>
          </cell>
          <cell r="V71">
            <v>0</v>
          </cell>
          <cell r="W71">
            <v>0</v>
          </cell>
          <cell r="X71">
            <v>0</v>
          </cell>
          <cell r="Y71">
            <v>21083</v>
          </cell>
          <cell r="Z71">
            <v>1553143.7337374708</v>
          </cell>
        </row>
        <row r="72">
          <cell r="D72">
            <v>2071</v>
          </cell>
          <cell r="E72" t="str">
            <v>Lydgate Junior School</v>
          </cell>
          <cell r="F72">
            <v>479</v>
          </cell>
          <cell r="G72">
            <v>1658714.0494788527</v>
          </cell>
          <cell r="H72">
            <v>21647.999999999975</v>
          </cell>
          <cell r="I72">
            <v>36175.79999999993</v>
          </cell>
          <cell r="J72">
            <v>14119.396365458564</v>
          </cell>
          <cell r="K72">
            <v>124642.2457481039</v>
          </cell>
          <cell r="L72">
            <v>21504.895397489545</v>
          </cell>
          <cell r="M72">
            <v>1876804.3869899046</v>
          </cell>
          <cell r="N72">
            <v>128000</v>
          </cell>
          <cell r="O72">
            <v>0</v>
          </cell>
          <cell r="P72">
            <v>105190.61301009546</v>
          </cell>
          <cell r="Q72">
            <v>105190.61301009546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23079</v>
          </cell>
          <cell r="Z72">
            <v>2133074</v>
          </cell>
        </row>
        <row r="73">
          <cell r="D73">
            <v>2358</v>
          </cell>
          <cell r="E73" t="str">
            <v>Malin Bridge Primary School</v>
          </cell>
          <cell r="F73">
            <v>517</v>
          </cell>
          <cell r="G73">
            <v>1790303.0554917888</v>
          </cell>
          <cell r="H73">
            <v>37785.599999999962</v>
          </cell>
          <cell r="I73">
            <v>58484.209999999897</v>
          </cell>
          <cell r="J73">
            <v>48905.784820254201</v>
          </cell>
          <cell r="K73">
            <v>123130.01249999987</v>
          </cell>
          <cell r="L73">
            <v>12129.168539325845</v>
          </cell>
          <cell r="M73">
            <v>2070737.8313513687</v>
          </cell>
          <cell r="N73">
            <v>128000</v>
          </cell>
          <cell r="O73">
            <v>0</v>
          </cell>
          <cell r="P73">
            <v>78647.168648631487</v>
          </cell>
          <cell r="Q73">
            <v>78647.168648631487</v>
          </cell>
          <cell r="R73">
            <v>0</v>
          </cell>
          <cell r="S73">
            <v>0</v>
          </cell>
          <cell r="T73">
            <v>24483.389758621237</v>
          </cell>
          <cell r="U73">
            <v>24483.389758621237</v>
          </cell>
          <cell r="V73">
            <v>0</v>
          </cell>
          <cell r="W73">
            <v>0</v>
          </cell>
          <cell r="X73">
            <v>0</v>
          </cell>
          <cell r="Y73">
            <v>5530</v>
          </cell>
          <cell r="Z73">
            <v>2307398.3897586213</v>
          </cell>
        </row>
        <row r="74">
          <cell r="D74">
            <v>2359</v>
          </cell>
          <cell r="E74" t="str">
            <v>Manor Lodge Community Primary and Nursery School</v>
          </cell>
          <cell r="F74">
            <v>333</v>
          </cell>
          <cell r="G74">
            <v>1153135.2369028351</v>
          </cell>
          <cell r="H74">
            <v>59827.199999999939</v>
          </cell>
          <cell r="I74">
            <v>95865.869999999893</v>
          </cell>
          <cell r="J74">
            <v>109305.4768560528</v>
          </cell>
          <cell r="K74">
            <v>156371.24999999991</v>
          </cell>
          <cell r="L74">
            <v>38083.943661971774</v>
          </cell>
          <cell r="M74">
            <v>1612588.9774208595</v>
          </cell>
          <cell r="N74">
            <v>128000</v>
          </cell>
          <cell r="O74">
            <v>7578.900000000006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3558</v>
          </cell>
          <cell r="Z74">
            <v>1751725.8774208594</v>
          </cell>
        </row>
        <row r="75">
          <cell r="D75">
            <v>2012</v>
          </cell>
          <cell r="E75" t="str">
            <v>Mansel Primary</v>
          </cell>
          <cell r="F75">
            <v>399</v>
          </cell>
          <cell r="G75">
            <v>1381684.5631358293</v>
          </cell>
          <cell r="H75">
            <v>85804.79999999993</v>
          </cell>
          <cell r="I75">
            <v>134453.3899999999</v>
          </cell>
          <cell r="J75">
            <v>172605.96269302489</v>
          </cell>
          <cell r="K75">
            <v>159990.91216216213</v>
          </cell>
          <cell r="L75">
            <v>12856.666666666677</v>
          </cell>
          <cell r="M75">
            <v>1947396.2946576828</v>
          </cell>
          <cell r="N75">
            <v>128000</v>
          </cell>
          <cell r="O75">
            <v>13286.699999999988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4608</v>
          </cell>
          <cell r="Z75">
            <v>2093290.994657683</v>
          </cell>
        </row>
        <row r="76">
          <cell r="D76">
            <v>2079</v>
          </cell>
          <cell r="E76" t="str">
            <v>Marlcliffe Community Primary School</v>
          </cell>
          <cell r="F76">
            <v>501</v>
          </cell>
          <cell r="G76">
            <v>1734897.1582231841</v>
          </cell>
          <cell r="H76">
            <v>30700.799999999992</v>
          </cell>
          <cell r="I76">
            <v>49440.260000000075</v>
          </cell>
          <cell r="J76">
            <v>53670.166624919992</v>
          </cell>
          <cell r="K76">
            <v>152080.69053117777</v>
          </cell>
          <cell r="L76">
            <v>6544.5945945945887</v>
          </cell>
          <cell r="M76">
            <v>2027333.6699738763</v>
          </cell>
          <cell r="N76">
            <v>128000</v>
          </cell>
          <cell r="O76">
            <v>0</v>
          </cell>
          <cell r="P76">
            <v>51571.33002612352</v>
          </cell>
          <cell r="Q76">
            <v>51571.33002612352</v>
          </cell>
          <cell r="R76">
            <v>0</v>
          </cell>
          <cell r="S76">
            <v>0</v>
          </cell>
          <cell r="T76">
            <v>1424.3333300586335</v>
          </cell>
          <cell r="U76">
            <v>1424.3333300586335</v>
          </cell>
          <cell r="V76">
            <v>0</v>
          </cell>
          <cell r="W76">
            <v>0</v>
          </cell>
          <cell r="X76">
            <v>0</v>
          </cell>
          <cell r="Y76">
            <v>28160</v>
          </cell>
          <cell r="Z76">
            <v>2236489.3333300585</v>
          </cell>
        </row>
        <row r="77">
          <cell r="D77">
            <v>2081</v>
          </cell>
          <cell r="E77" t="str">
            <v>Meersbrook Bank Primary School</v>
          </cell>
          <cell r="F77">
            <v>207</v>
          </cell>
          <cell r="G77">
            <v>716813.79591257311</v>
          </cell>
          <cell r="H77">
            <v>9052.7999999999902</v>
          </cell>
          <cell r="I77">
            <v>13867.389999999983</v>
          </cell>
          <cell r="J77">
            <v>7708.9709430580187</v>
          </cell>
          <cell r="K77">
            <v>42785.127824019066</v>
          </cell>
          <cell r="L77">
            <v>5426.4406779661076</v>
          </cell>
          <cell r="M77">
            <v>795654.52535761637</v>
          </cell>
          <cell r="N77">
            <v>128000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20912.03969399826</v>
          </cell>
          <cell r="U77">
            <v>20912.03969399826</v>
          </cell>
          <cell r="V77">
            <v>0</v>
          </cell>
          <cell r="W77">
            <v>0</v>
          </cell>
          <cell r="X77">
            <v>0</v>
          </cell>
          <cell r="Y77">
            <v>14222</v>
          </cell>
          <cell r="Z77">
            <v>958788.56505161442</v>
          </cell>
        </row>
        <row r="78">
          <cell r="D78">
            <v>2013</v>
          </cell>
          <cell r="E78" t="str">
            <v>Meynell Community Primary School</v>
          </cell>
          <cell r="F78">
            <v>368</v>
          </cell>
          <cell r="G78">
            <v>1274335.6371779076</v>
          </cell>
          <cell r="H78">
            <v>104303.99999999999</v>
          </cell>
          <cell r="I78">
            <v>161585.23999999987</v>
          </cell>
          <cell r="J78">
            <v>185637.14133342548</v>
          </cell>
          <cell r="K78">
            <v>170008.44238975819</v>
          </cell>
          <cell r="L78">
            <v>22868.571428571398</v>
          </cell>
          <cell r="M78">
            <v>1918739.0323296627</v>
          </cell>
          <cell r="N78">
            <v>128000</v>
          </cell>
          <cell r="O78">
            <v>9374.3999999999905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6144</v>
          </cell>
          <cell r="Z78">
            <v>2062257.4323296626</v>
          </cell>
        </row>
        <row r="79">
          <cell r="D79">
            <v>2346</v>
          </cell>
          <cell r="E79" t="str">
            <v>Monteney Primary School</v>
          </cell>
          <cell r="F79">
            <v>404</v>
          </cell>
          <cell r="G79">
            <v>1398998.9060322682</v>
          </cell>
          <cell r="H79">
            <v>50380.800000000017</v>
          </cell>
          <cell r="I79">
            <v>79586.760000000068</v>
          </cell>
          <cell r="J79">
            <v>115159.04043408022</v>
          </cell>
          <cell r="K79">
            <v>135143.36283185854</v>
          </cell>
          <cell r="L79">
            <v>4086.9767441860513</v>
          </cell>
          <cell r="M79">
            <v>1783355.846042393</v>
          </cell>
          <cell r="N79">
            <v>128000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5786</v>
          </cell>
          <cell r="Z79">
            <v>1917141.846042393</v>
          </cell>
        </row>
        <row r="80">
          <cell r="D80">
            <v>2257</v>
          </cell>
          <cell r="E80" t="str">
            <v>Mosborough Primary School</v>
          </cell>
          <cell r="F80">
            <v>418</v>
          </cell>
          <cell r="G80">
            <v>1447479.0661422973</v>
          </cell>
          <cell r="H80">
            <v>25584.000000000065</v>
          </cell>
          <cell r="I80">
            <v>39190.450000000099</v>
          </cell>
          <cell r="J80">
            <v>9748.2360916961443</v>
          </cell>
          <cell r="K80">
            <v>79363.663407821281</v>
          </cell>
          <cell r="L80">
            <v>6077.8830083565572</v>
          </cell>
          <cell r="M80">
            <v>1607443.2986501716</v>
          </cell>
          <cell r="N80">
            <v>128000</v>
          </cell>
          <cell r="O80">
            <v>0</v>
          </cell>
          <cell r="P80">
            <v>105846.70134982829</v>
          </cell>
          <cell r="Q80">
            <v>105846.70134982829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210576.83402123066</v>
          </cell>
          <cell r="W80">
            <v>0</v>
          </cell>
          <cell r="X80">
            <v>0</v>
          </cell>
          <cell r="Y80">
            <v>37376</v>
          </cell>
          <cell r="Z80">
            <v>2089242.8340212307</v>
          </cell>
        </row>
        <row r="81">
          <cell r="D81">
            <v>2092</v>
          </cell>
          <cell r="E81" t="str">
            <v>Mundella Primary School</v>
          </cell>
          <cell r="F81">
            <v>416</v>
          </cell>
          <cell r="G81">
            <v>1440553.3289837218</v>
          </cell>
          <cell r="H81">
            <v>21254.399999999951</v>
          </cell>
          <cell r="I81">
            <v>34367.01000000006</v>
          </cell>
          <cell r="J81">
            <v>29070.959226549734</v>
          </cell>
          <cell r="K81">
            <v>87112.521246458971</v>
          </cell>
          <cell r="L81">
            <v>1363.163841807909</v>
          </cell>
          <cell r="M81">
            <v>1613721.3832985384</v>
          </cell>
          <cell r="N81">
            <v>128000</v>
          </cell>
          <cell r="O81">
            <v>0</v>
          </cell>
          <cell r="P81">
            <v>90758.616701461666</v>
          </cell>
          <cell r="Q81">
            <v>90758.616701461666</v>
          </cell>
          <cell r="R81">
            <v>0</v>
          </cell>
          <cell r="S81">
            <v>0</v>
          </cell>
          <cell r="T81">
            <v>1137.0857142861439</v>
          </cell>
          <cell r="U81">
            <v>1137.0857142861439</v>
          </cell>
          <cell r="V81">
            <v>0</v>
          </cell>
          <cell r="W81">
            <v>0</v>
          </cell>
          <cell r="X81">
            <v>0</v>
          </cell>
          <cell r="Y81">
            <v>27904</v>
          </cell>
          <cell r="Z81">
            <v>1861521.0857142867</v>
          </cell>
        </row>
        <row r="82">
          <cell r="D82">
            <v>2002</v>
          </cell>
          <cell r="E82" t="str">
            <v>Nether Edge Primary School</v>
          </cell>
          <cell r="F82">
            <v>419</v>
          </cell>
          <cell r="G82">
            <v>1450941.9347215851</v>
          </cell>
          <cell r="H82">
            <v>41327.999999999971</v>
          </cell>
          <cell r="I82">
            <v>66322.300000000032</v>
          </cell>
          <cell r="J82">
            <v>41452.865106621597</v>
          </cell>
          <cell r="K82">
            <v>172035.62068965516</v>
          </cell>
          <cell r="L82">
            <v>44185.454545454588</v>
          </cell>
          <cell r="M82">
            <v>1816266.1750633165</v>
          </cell>
          <cell r="N82">
            <v>128000</v>
          </cell>
          <cell r="O82">
            <v>4592.700000000018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27337.062766262337</v>
          </cell>
          <cell r="U82">
            <v>27337.062766262337</v>
          </cell>
          <cell r="V82">
            <v>0</v>
          </cell>
          <cell r="W82">
            <v>0</v>
          </cell>
          <cell r="X82">
            <v>0</v>
          </cell>
          <cell r="Y82">
            <v>3942</v>
          </cell>
          <cell r="Z82">
            <v>1980137.937829579</v>
          </cell>
        </row>
        <row r="83">
          <cell r="D83">
            <v>2221</v>
          </cell>
          <cell r="E83" t="str">
            <v>Nether Green Infant School</v>
          </cell>
          <cell r="F83">
            <v>223</v>
          </cell>
          <cell r="G83">
            <v>772219.69318117783</v>
          </cell>
          <cell r="H83">
            <v>4723.1999999999989</v>
          </cell>
          <cell r="I83">
            <v>7235.159999999998</v>
          </cell>
          <cell r="J83">
            <v>3538.993778129839</v>
          </cell>
          <cell r="K83">
            <v>60823.979483021205</v>
          </cell>
          <cell r="L83">
            <v>28839.324324324327</v>
          </cell>
          <cell r="M83">
            <v>877380.3507666532</v>
          </cell>
          <cell r="N83">
            <v>128000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15261.729512971871</v>
          </cell>
          <cell r="U83">
            <v>15261.729512971871</v>
          </cell>
          <cell r="V83">
            <v>0</v>
          </cell>
          <cell r="W83">
            <v>0</v>
          </cell>
          <cell r="X83">
            <v>0</v>
          </cell>
          <cell r="Y83">
            <v>14596</v>
          </cell>
          <cell r="Z83">
            <v>1035238.080279625</v>
          </cell>
        </row>
        <row r="84">
          <cell r="D84">
            <v>2087</v>
          </cell>
          <cell r="E84" t="str">
            <v>Nether Green Junior School</v>
          </cell>
          <cell r="F84">
            <v>377</v>
          </cell>
          <cell r="G84">
            <v>1305501.4543914979</v>
          </cell>
          <cell r="H84">
            <v>15743.999999999973</v>
          </cell>
          <cell r="I84">
            <v>24720.129999999914</v>
          </cell>
          <cell r="J84">
            <v>10104.878875538678</v>
          </cell>
          <cell r="K84">
            <v>94407.356521739101</v>
          </cell>
          <cell r="L84">
            <v>15079.999999999996</v>
          </cell>
          <cell r="M84">
            <v>1465557.8197887756</v>
          </cell>
          <cell r="N84">
            <v>128000</v>
          </cell>
          <cell r="O84">
            <v>0</v>
          </cell>
          <cell r="P84">
            <v>67127.180211224695</v>
          </cell>
          <cell r="Q84">
            <v>67127.180211224695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21083</v>
          </cell>
          <cell r="Z84">
            <v>1681768.0000000002</v>
          </cell>
        </row>
        <row r="85">
          <cell r="D85">
            <v>2272</v>
          </cell>
          <cell r="E85" t="str">
            <v>Netherthorpe Primary School</v>
          </cell>
          <cell r="F85">
            <v>217</v>
          </cell>
          <cell r="G85">
            <v>751442.48170545103</v>
          </cell>
          <cell r="H85">
            <v>42902.400000000009</v>
          </cell>
          <cell r="I85">
            <v>66925.23</v>
          </cell>
          <cell r="J85">
            <v>60839.601048831493</v>
          </cell>
          <cell r="K85">
            <v>141207.03947368427</v>
          </cell>
          <cell r="L85">
            <v>71049.999999999985</v>
          </cell>
          <cell r="M85">
            <v>1134366.7522279667</v>
          </cell>
          <cell r="N85">
            <v>128000</v>
          </cell>
          <cell r="O85">
            <v>7541.0999999999995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19461</v>
          </cell>
          <cell r="Z85">
            <v>1289368.8522279668</v>
          </cell>
        </row>
        <row r="86">
          <cell r="D86">
            <v>2309</v>
          </cell>
          <cell r="E86" t="str">
            <v>Nook Lane Junior School</v>
          </cell>
          <cell r="F86">
            <v>243</v>
          </cell>
          <cell r="G86">
            <v>841477.06476693368</v>
          </cell>
          <cell r="H86">
            <v>10233.60000000004</v>
          </cell>
          <cell r="I86">
            <v>16279.109999999982</v>
          </cell>
          <cell r="J86">
            <v>9729.9467181657292</v>
          </cell>
          <cell r="K86">
            <v>64298.586286594691</v>
          </cell>
          <cell r="L86">
            <v>0</v>
          </cell>
          <cell r="M86">
            <v>942018.30777169426</v>
          </cell>
          <cell r="N86">
            <v>128000</v>
          </cell>
          <cell r="O86">
            <v>0</v>
          </cell>
          <cell r="P86">
            <v>396.69222830560648</v>
          </cell>
          <cell r="Q86">
            <v>396.69222830560648</v>
          </cell>
          <cell r="R86">
            <v>0</v>
          </cell>
          <cell r="S86">
            <v>0</v>
          </cell>
          <cell r="T86">
            <v>32952.642764973782</v>
          </cell>
          <cell r="U86">
            <v>32952.642764973782</v>
          </cell>
          <cell r="V86">
            <v>0</v>
          </cell>
          <cell r="W86">
            <v>0</v>
          </cell>
          <cell r="X86">
            <v>0</v>
          </cell>
          <cell r="Y86">
            <v>4019</v>
          </cell>
          <cell r="Z86">
            <v>1107386.6427649737</v>
          </cell>
        </row>
        <row r="87">
          <cell r="D87">
            <v>2051</v>
          </cell>
          <cell r="E87" t="str">
            <v>Norfolk Community Primary School</v>
          </cell>
          <cell r="F87">
            <v>384</v>
          </cell>
          <cell r="G87">
            <v>1329741.5344465123</v>
          </cell>
          <cell r="H87">
            <v>86198.399999999994</v>
          </cell>
          <cell r="I87">
            <v>135056.31999999992</v>
          </cell>
          <cell r="J87">
            <v>169204.13921637303</v>
          </cell>
          <cell r="K87">
            <v>221760.00000000006</v>
          </cell>
          <cell r="L87">
            <v>40494.545454545492</v>
          </cell>
          <cell r="M87">
            <v>1982454.9391174305</v>
          </cell>
          <cell r="N87">
            <v>128000</v>
          </cell>
          <cell r="O87">
            <v>19074.948691099478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10957</v>
          </cell>
          <cell r="Z87">
            <v>2140486.8878085297</v>
          </cell>
        </row>
        <row r="88">
          <cell r="D88">
            <v>3010</v>
          </cell>
          <cell r="E88" t="str">
            <v>Norton Free Church of England Primary School</v>
          </cell>
          <cell r="F88">
            <v>213</v>
          </cell>
          <cell r="G88">
            <v>737591.0073882998</v>
          </cell>
          <cell r="H88">
            <v>9052.7999999999993</v>
          </cell>
          <cell r="I88">
            <v>15073.249999999955</v>
          </cell>
          <cell r="J88">
            <v>23547.568420372907</v>
          </cell>
          <cell r="K88">
            <v>44627.030386740364</v>
          </cell>
          <cell r="L88">
            <v>678.79120879120819</v>
          </cell>
          <cell r="M88">
            <v>830570.44740420429</v>
          </cell>
          <cell r="N88">
            <v>128000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27810.285845437975</v>
          </cell>
          <cell r="U88">
            <v>27810.285845437975</v>
          </cell>
          <cell r="V88">
            <v>0</v>
          </cell>
          <cell r="W88">
            <v>0</v>
          </cell>
          <cell r="X88">
            <v>0</v>
          </cell>
          <cell r="Y88">
            <v>4582</v>
          </cell>
          <cell r="Z88">
            <v>990962.7332496423</v>
          </cell>
        </row>
        <row r="89">
          <cell r="D89">
            <v>2018</v>
          </cell>
          <cell r="E89" t="str">
            <v>Oasis Academy Fir Vale</v>
          </cell>
          <cell r="F89">
            <v>407</v>
          </cell>
          <cell r="G89">
            <v>1409387.5117701315</v>
          </cell>
          <cell r="H89">
            <v>121228.80000000003</v>
          </cell>
          <cell r="I89">
            <v>191731.7399999999</v>
          </cell>
          <cell r="J89">
            <v>162153.585720409</v>
          </cell>
          <cell r="K89">
            <v>397314.47474167612</v>
          </cell>
          <cell r="L89">
            <v>144660.72423398338</v>
          </cell>
          <cell r="M89">
            <v>2426476.8364662002</v>
          </cell>
          <cell r="N89">
            <v>128000</v>
          </cell>
          <cell r="O89">
            <v>36604.737931034309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7373</v>
          </cell>
          <cell r="Z89">
            <v>2598454.5743972347</v>
          </cell>
        </row>
        <row r="90">
          <cell r="D90">
            <v>2019</v>
          </cell>
          <cell r="E90" t="str">
            <v>Oasis Academy Watermead</v>
          </cell>
          <cell r="F90">
            <v>380</v>
          </cell>
          <cell r="G90">
            <v>1315890.0601293612</v>
          </cell>
          <cell r="H90">
            <v>75177.599999999933</v>
          </cell>
          <cell r="I90">
            <v>117571.34999999998</v>
          </cell>
          <cell r="J90">
            <v>179537.63526104152</v>
          </cell>
          <cell r="K90">
            <v>125809.73154362434</v>
          </cell>
          <cell r="L90">
            <v>31971.604938271666</v>
          </cell>
          <cell r="M90">
            <v>1845957.9818722985</v>
          </cell>
          <cell r="N90">
            <v>128000</v>
          </cell>
          <cell r="O90">
            <v>10753.999999999985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70229.564229937256</v>
          </cell>
          <cell r="U90">
            <v>70229.564229937256</v>
          </cell>
          <cell r="V90">
            <v>0</v>
          </cell>
          <cell r="W90">
            <v>0</v>
          </cell>
          <cell r="X90">
            <v>0</v>
          </cell>
          <cell r="Y90">
            <v>10547</v>
          </cell>
          <cell r="Z90">
            <v>2065488.546102236</v>
          </cell>
        </row>
        <row r="91">
          <cell r="D91">
            <v>2313</v>
          </cell>
          <cell r="E91" t="str">
            <v>Oughtibridge Primary School</v>
          </cell>
          <cell r="F91">
            <v>417</v>
          </cell>
          <cell r="G91">
            <v>1444016.1975630096</v>
          </cell>
          <cell r="H91">
            <v>13776.000000000002</v>
          </cell>
          <cell r="I91">
            <v>21705.480000000007</v>
          </cell>
          <cell r="J91">
            <v>8952.6483431243141</v>
          </cell>
          <cell r="K91">
            <v>74971.043249561728</v>
          </cell>
          <cell r="L91">
            <v>1354.9579831932763</v>
          </cell>
          <cell r="M91">
            <v>1564776.3271388889</v>
          </cell>
          <cell r="N91">
            <v>128000</v>
          </cell>
          <cell r="O91">
            <v>0</v>
          </cell>
          <cell r="P91">
            <v>144108.67286111115</v>
          </cell>
          <cell r="Q91">
            <v>144108.67286111115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6656</v>
          </cell>
          <cell r="Z91">
            <v>1843541.0000000005</v>
          </cell>
        </row>
        <row r="92">
          <cell r="D92">
            <v>2093</v>
          </cell>
          <cell r="E92" t="str">
            <v>Owler Brook Primary School</v>
          </cell>
          <cell r="F92">
            <v>400</v>
          </cell>
          <cell r="G92">
            <v>1385147.4317151171</v>
          </cell>
          <cell r="H92">
            <v>93676.799999999988</v>
          </cell>
          <cell r="I92">
            <v>146511.99</v>
          </cell>
          <cell r="J92">
            <v>170274.0675679007</v>
          </cell>
          <cell r="K92">
            <v>251222.3374314917</v>
          </cell>
          <cell r="L92">
            <v>112973.91304347817</v>
          </cell>
          <cell r="M92">
            <v>2159806.5397579875</v>
          </cell>
          <cell r="N92">
            <v>128000</v>
          </cell>
          <cell r="O92">
            <v>11510.954773869358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201508.93207773269</v>
          </cell>
          <cell r="W92">
            <v>0</v>
          </cell>
          <cell r="X92">
            <v>0</v>
          </cell>
          <cell r="Y92">
            <v>10342</v>
          </cell>
          <cell r="Z92">
            <v>2511168.4266095897</v>
          </cell>
        </row>
        <row r="93">
          <cell r="D93">
            <v>3428</v>
          </cell>
          <cell r="E93" t="str">
            <v>Parson Cross Church of England Primary School</v>
          </cell>
          <cell r="F93">
            <v>203</v>
          </cell>
          <cell r="G93">
            <v>702962.32159542188</v>
          </cell>
          <cell r="H93">
            <v>20073.599999999991</v>
          </cell>
          <cell r="I93">
            <v>31955.290000000052</v>
          </cell>
          <cell r="J93">
            <v>73212.36224213813</v>
          </cell>
          <cell r="K93">
            <v>59979.418604651182</v>
          </cell>
          <cell r="L93">
            <v>1361.1560693641622</v>
          </cell>
          <cell r="M93">
            <v>889544.14851157542</v>
          </cell>
          <cell r="N93">
            <v>128000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4096</v>
          </cell>
          <cell r="Z93">
            <v>1021640.1485115754</v>
          </cell>
        </row>
        <row r="94">
          <cell r="D94">
            <v>2332</v>
          </cell>
          <cell r="E94" t="str">
            <v>Phillimore Community Primary School</v>
          </cell>
          <cell r="F94">
            <v>388</v>
          </cell>
          <cell r="G94">
            <v>1343593.0087636635</v>
          </cell>
          <cell r="H94">
            <v>87772.799999999974</v>
          </cell>
          <cell r="I94">
            <v>138070.96999999991</v>
          </cell>
          <cell r="J94">
            <v>169714.70574592237</v>
          </cell>
          <cell r="K94">
            <v>192598.02250803856</v>
          </cell>
          <cell r="L94">
            <v>101104.92753623199</v>
          </cell>
          <cell r="M94">
            <v>2032854.4345538565</v>
          </cell>
          <cell r="N94">
            <v>128000</v>
          </cell>
          <cell r="O94">
            <v>1686.4465116279209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4890</v>
          </cell>
          <cell r="Z94">
            <v>2167430.8810654846</v>
          </cell>
        </row>
        <row r="95">
          <cell r="D95">
            <v>3433</v>
          </cell>
          <cell r="E95" t="str">
            <v>Pipworth Community Primary School</v>
          </cell>
          <cell r="F95">
            <v>394</v>
          </cell>
          <cell r="G95">
            <v>1364370.2202393904</v>
          </cell>
          <cell r="H95">
            <v>91315.200000000041</v>
          </cell>
          <cell r="I95">
            <v>144703.2000000001</v>
          </cell>
          <cell r="J95">
            <v>190374.08907779583</v>
          </cell>
          <cell r="K95">
            <v>183127.86706948641</v>
          </cell>
          <cell r="L95">
            <v>38412.193732193715</v>
          </cell>
          <cell r="M95">
            <v>2012302.7701188666</v>
          </cell>
          <cell r="N95">
            <v>128000</v>
          </cell>
          <cell r="O95">
            <v>29635.200000000135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27648</v>
          </cell>
          <cell r="Z95">
            <v>2197585.9701188668</v>
          </cell>
        </row>
        <row r="96">
          <cell r="D96">
            <v>3427</v>
          </cell>
          <cell r="E96" t="str">
            <v>Porter Croft Church of England Primary Academy</v>
          </cell>
          <cell r="F96">
            <v>214</v>
          </cell>
          <cell r="G96">
            <v>741053.87596758769</v>
          </cell>
          <cell r="H96">
            <v>29126.399999999958</v>
          </cell>
          <cell r="I96">
            <v>48837.329999999958</v>
          </cell>
          <cell r="J96">
            <v>68210.218581577414</v>
          </cell>
          <cell r="K96">
            <v>92013.118085927461</v>
          </cell>
          <cell r="L96">
            <v>45010.549450549501</v>
          </cell>
          <cell r="M96">
            <v>1024251.4920856419</v>
          </cell>
          <cell r="N96">
            <v>128000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2637</v>
          </cell>
          <cell r="Z96">
            <v>1154888.4920856419</v>
          </cell>
        </row>
        <row r="97">
          <cell r="D97">
            <v>2347</v>
          </cell>
          <cell r="E97" t="str">
            <v>Prince Edward Primary School</v>
          </cell>
          <cell r="F97">
            <v>407</v>
          </cell>
          <cell r="G97">
            <v>1409387.5117701315</v>
          </cell>
          <cell r="H97">
            <v>83443.199999999997</v>
          </cell>
          <cell r="I97">
            <v>133850.45999999988</v>
          </cell>
          <cell r="J97">
            <v>197030.85794638097</v>
          </cell>
          <cell r="K97">
            <v>202437.5190548781</v>
          </cell>
          <cell r="L97">
            <v>37877.82234957019</v>
          </cell>
          <cell r="M97">
            <v>2064027.3711209607</v>
          </cell>
          <cell r="N97">
            <v>128000</v>
          </cell>
          <cell r="O97">
            <v>2500.9448275862087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49664</v>
          </cell>
          <cell r="Z97">
            <v>2244192.3159485469</v>
          </cell>
        </row>
        <row r="98">
          <cell r="D98">
            <v>2366</v>
          </cell>
          <cell r="E98" t="str">
            <v>Pye Bank CofE Primary School</v>
          </cell>
          <cell r="F98">
            <v>423</v>
          </cell>
          <cell r="G98">
            <v>1464793.4090387363</v>
          </cell>
          <cell r="H98">
            <v>90527.999999999927</v>
          </cell>
          <cell r="I98">
            <v>139879.75999999989</v>
          </cell>
          <cell r="J98">
            <v>185472.06023442722</v>
          </cell>
          <cell r="K98">
            <v>145707.09051724151</v>
          </cell>
          <cell r="L98">
            <v>88483.278688524573</v>
          </cell>
          <cell r="M98">
            <v>2114863.5984789296</v>
          </cell>
          <cell r="N98">
            <v>128000</v>
          </cell>
          <cell r="O98">
            <v>9169.2767772511797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9882</v>
          </cell>
          <cell r="Z98">
            <v>2261914.8752561812</v>
          </cell>
        </row>
        <row r="99">
          <cell r="D99">
            <v>2363</v>
          </cell>
          <cell r="E99" t="str">
            <v>Rainbow Forge Primary Academy</v>
          </cell>
          <cell r="F99">
            <v>297</v>
          </cell>
          <cell r="G99">
            <v>1028471.9680484744</v>
          </cell>
          <cell r="H99">
            <v>54316.800000000032</v>
          </cell>
          <cell r="I99">
            <v>84410.199999999924</v>
          </cell>
          <cell r="J99">
            <v>67478.643640361901</v>
          </cell>
          <cell r="K99">
            <v>93041.817513958245</v>
          </cell>
          <cell r="L99">
            <v>2734.2857142857192</v>
          </cell>
          <cell r="M99">
            <v>1330453.7149170802</v>
          </cell>
          <cell r="N99">
            <v>128000</v>
          </cell>
          <cell r="O99">
            <v>9620.1000000000076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4173</v>
          </cell>
          <cell r="Z99">
            <v>1472246.8149170803</v>
          </cell>
        </row>
        <row r="100">
          <cell r="D100">
            <v>2334</v>
          </cell>
          <cell r="E100" t="str">
            <v>Reignhead Primary School</v>
          </cell>
          <cell r="F100">
            <v>244</v>
          </cell>
          <cell r="G100">
            <v>844939.93334622146</v>
          </cell>
          <cell r="H100">
            <v>31881.599999999991</v>
          </cell>
          <cell r="I100">
            <v>50646.119999999959</v>
          </cell>
          <cell r="J100">
            <v>39907.41304330391</v>
          </cell>
          <cell r="K100">
            <v>87505.753424657436</v>
          </cell>
          <cell r="L100">
            <v>1274.9549549549552</v>
          </cell>
          <cell r="M100">
            <v>1056155.7747691378</v>
          </cell>
          <cell r="N100">
            <v>128000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7516.8377068111422</v>
          </cell>
          <cell r="U100">
            <v>7516.8377068111422</v>
          </cell>
          <cell r="V100">
            <v>0</v>
          </cell>
          <cell r="W100">
            <v>0</v>
          </cell>
          <cell r="X100">
            <v>0</v>
          </cell>
          <cell r="Y100">
            <v>31232</v>
          </cell>
          <cell r="Z100">
            <v>1222904.6124759493</v>
          </cell>
        </row>
        <row r="101">
          <cell r="D101">
            <v>2338</v>
          </cell>
          <cell r="E101" t="str">
            <v>Rivelin Primary School</v>
          </cell>
          <cell r="F101">
            <v>351</v>
          </cell>
          <cell r="G101">
            <v>1215466.8713300154</v>
          </cell>
          <cell r="H101">
            <v>24403.200000000044</v>
          </cell>
          <cell r="I101">
            <v>40396.310000000019</v>
          </cell>
          <cell r="J101">
            <v>38508.275968229282</v>
          </cell>
          <cell r="K101">
            <v>114212.13875707942</v>
          </cell>
          <cell r="L101">
            <v>31219.936102236337</v>
          </cell>
          <cell r="M101">
            <v>1464206.7321575603</v>
          </cell>
          <cell r="N101">
            <v>128000</v>
          </cell>
          <cell r="O101">
            <v>20849.400000000049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23578</v>
          </cell>
          <cell r="Z101">
            <v>1636634.1321575602</v>
          </cell>
        </row>
        <row r="102">
          <cell r="D102">
            <v>2306</v>
          </cell>
          <cell r="E102" t="str">
            <v>Royd Nursery and Infant School</v>
          </cell>
          <cell r="F102">
            <v>122</v>
          </cell>
          <cell r="G102">
            <v>422469.96667311073</v>
          </cell>
          <cell r="H102">
            <v>12201.600000000013</v>
          </cell>
          <cell r="I102">
            <v>18690.83000000002</v>
          </cell>
          <cell r="J102">
            <v>9702.512657870162</v>
          </cell>
          <cell r="K102">
            <v>40385.578370834039</v>
          </cell>
          <cell r="L102">
            <v>3180.2247191011238</v>
          </cell>
          <cell r="M102">
            <v>506630.71242091613</v>
          </cell>
          <cell r="N102">
            <v>128000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14596</v>
          </cell>
          <cell r="Z102">
            <v>649226.71242091618</v>
          </cell>
        </row>
        <row r="103">
          <cell r="D103">
            <v>3401</v>
          </cell>
          <cell r="E103" t="str">
            <v>Sacred Heart School, A Catholic Voluntary Academy</v>
          </cell>
          <cell r="F103">
            <v>200</v>
          </cell>
          <cell r="G103">
            <v>692573.71585755853</v>
          </cell>
          <cell r="H103">
            <v>13775.999999999998</v>
          </cell>
          <cell r="I103">
            <v>22911.339999999997</v>
          </cell>
          <cell r="J103">
            <v>25659.991063132617</v>
          </cell>
          <cell r="K103">
            <v>59151.340996168554</v>
          </cell>
          <cell r="L103">
            <v>14988.764044943773</v>
          </cell>
          <cell r="M103">
            <v>829061.15196180344</v>
          </cell>
          <cell r="N103">
            <v>128000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3661</v>
          </cell>
          <cell r="Z103">
            <v>960722.15196180344</v>
          </cell>
        </row>
        <row r="104">
          <cell r="D104">
            <v>2369</v>
          </cell>
          <cell r="E104" t="str">
            <v>Sharrow Nursery, Infant and Junior School</v>
          </cell>
          <cell r="F104">
            <v>417</v>
          </cell>
          <cell r="G104">
            <v>1444016.1975630096</v>
          </cell>
          <cell r="H104">
            <v>62582.399999999994</v>
          </cell>
          <cell r="I104">
            <v>98277.590000000055</v>
          </cell>
          <cell r="J104">
            <v>99110.115161165857</v>
          </cell>
          <cell r="K104">
            <v>177861.99009287925</v>
          </cell>
          <cell r="L104">
            <v>98234.453781512508</v>
          </cell>
          <cell r="M104">
            <v>1980082.7465985671</v>
          </cell>
          <cell r="N104">
            <v>128000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51712</v>
          </cell>
          <cell r="Z104">
            <v>2159794.7465985669</v>
          </cell>
        </row>
        <row r="105">
          <cell r="D105">
            <v>2349</v>
          </cell>
          <cell r="E105" t="str">
            <v>Shooter's Grove Primary School</v>
          </cell>
          <cell r="F105">
            <v>359</v>
          </cell>
          <cell r="G105">
            <v>1243169.8199643176</v>
          </cell>
          <cell r="H105">
            <v>33849.600000000064</v>
          </cell>
          <cell r="I105">
            <v>54263.700000000092</v>
          </cell>
          <cell r="J105">
            <v>46290.404405408844</v>
          </cell>
          <cell r="K105">
            <v>96396.102564102417</v>
          </cell>
          <cell r="L105">
            <v>12761.870967741945</v>
          </cell>
          <cell r="M105">
            <v>1486731.4979015712</v>
          </cell>
          <cell r="N105">
            <v>128000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20904.160276185859</v>
          </cell>
          <cell r="U105">
            <v>20904.160276185859</v>
          </cell>
          <cell r="V105">
            <v>0</v>
          </cell>
          <cell r="W105">
            <v>0</v>
          </cell>
          <cell r="X105">
            <v>0</v>
          </cell>
          <cell r="Y105">
            <v>26880</v>
          </cell>
          <cell r="Z105">
            <v>1662515.6581777567</v>
          </cell>
        </row>
        <row r="106">
          <cell r="D106">
            <v>2360</v>
          </cell>
          <cell r="E106" t="str">
            <v>Shortbrook Primary School</v>
          </cell>
          <cell r="F106">
            <v>84</v>
          </cell>
          <cell r="G106">
            <v>290880.96066017461</v>
          </cell>
          <cell r="H106">
            <v>21648.000000000007</v>
          </cell>
          <cell r="I106">
            <v>33161.150000000009</v>
          </cell>
          <cell r="J106">
            <v>21490.01389820443</v>
          </cell>
          <cell r="K106">
            <v>31536.52173913044</v>
          </cell>
          <cell r="L106">
            <v>0</v>
          </cell>
          <cell r="M106">
            <v>398716.64629750949</v>
          </cell>
          <cell r="N106">
            <v>128000</v>
          </cell>
          <cell r="O106">
            <v>3742.1999999999884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93791.116431599803</v>
          </cell>
          <cell r="U106">
            <v>93791.116431599803</v>
          </cell>
          <cell r="V106">
            <v>0</v>
          </cell>
          <cell r="W106">
            <v>0</v>
          </cell>
          <cell r="X106">
            <v>0</v>
          </cell>
          <cell r="Y106">
            <v>13972</v>
          </cell>
          <cell r="Z106">
            <v>638221.9627291091</v>
          </cell>
        </row>
        <row r="107">
          <cell r="D107">
            <v>2009</v>
          </cell>
          <cell r="E107" t="str">
            <v>Southey Green Primary School and Nurseries</v>
          </cell>
          <cell r="F107">
            <v>611</v>
          </cell>
          <cell r="G107">
            <v>2115812.7019448415</v>
          </cell>
          <cell r="H107">
            <v>132249.60000000006</v>
          </cell>
          <cell r="I107">
            <v>210422.5699999998</v>
          </cell>
          <cell r="J107">
            <v>303018.34065144765</v>
          </cell>
          <cell r="K107">
            <v>276298.69172643434</v>
          </cell>
          <cell r="L107">
            <v>25797.777777777785</v>
          </cell>
          <cell r="M107">
            <v>3063599.6821005014</v>
          </cell>
          <cell r="N107">
            <v>128000</v>
          </cell>
          <cell r="O107">
            <v>4101.2999999999784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38049.379457616662</v>
          </cell>
          <cell r="X107">
            <v>0</v>
          </cell>
          <cell r="Y107">
            <v>10742</v>
          </cell>
          <cell r="Z107">
            <v>3244492.3615581174</v>
          </cell>
        </row>
        <row r="108">
          <cell r="D108">
            <v>2329</v>
          </cell>
          <cell r="E108" t="str">
            <v>Springfield Primary School</v>
          </cell>
          <cell r="F108">
            <v>208</v>
          </cell>
          <cell r="G108">
            <v>720276.66449186089</v>
          </cell>
          <cell r="H108">
            <v>33849.599999999955</v>
          </cell>
          <cell r="I108">
            <v>52454.910000000018</v>
          </cell>
          <cell r="J108">
            <v>43684.168677328729</v>
          </cell>
          <cell r="K108">
            <v>75299.10447761188</v>
          </cell>
          <cell r="L108">
            <v>75908.314606741507</v>
          </cell>
          <cell r="M108">
            <v>1001472.762253543</v>
          </cell>
          <cell r="N108">
            <v>128000</v>
          </cell>
          <cell r="O108">
            <v>8996.4000000000469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4713.9458986232703</v>
          </cell>
          <cell r="U108">
            <v>4713.9458986232703</v>
          </cell>
          <cell r="V108">
            <v>0</v>
          </cell>
          <cell r="W108">
            <v>0</v>
          </cell>
          <cell r="X108">
            <v>0</v>
          </cell>
          <cell r="Y108">
            <v>14097</v>
          </cell>
          <cell r="Z108">
            <v>1157280.108152166</v>
          </cell>
        </row>
        <row r="109">
          <cell r="D109">
            <v>5202</v>
          </cell>
          <cell r="E109" t="str">
            <v>St Ann's Catholic Primary School, A Voluntary Academy</v>
          </cell>
          <cell r="F109">
            <v>99</v>
          </cell>
          <cell r="G109">
            <v>342823.98934949149</v>
          </cell>
          <cell r="H109">
            <v>5116.7999999999865</v>
          </cell>
          <cell r="I109">
            <v>9043.950000000028</v>
          </cell>
          <cell r="J109">
            <v>15180.180030220992</v>
          </cell>
          <cell r="K109">
            <v>24171.664556962023</v>
          </cell>
          <cell r="L109">
            <v>3588.75</v>
          </cell>
          <cell r="M109">
            <v>399925.33393667452</v>
          </cell>
          <cell r="N109">
            <v>128000</v>
          </cell>
          <cell r="O109">
            <v>1001.7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12251.306871774215</v>
          </cell>
          <cell r="U109">
            <v>12251.306871774215</v>
          </cell>
          <cell r="V109">
            <v>0</v>
          </cell>
          <cell r="W109">
            <v>0</v>
          </cell>
          <cell r="X109">
            <v>0</v>
          </cell>
          <cell r="Y109">
            <v>2253</v>
          </cell>
          <cell r="Z109">
            <v>543431.34080844873</v>
          </cell>
        </row>
        <row r="110">
          <cell r="D110">
            <v>3402</v>
          </cell>
          <cell r="E110" t="str">
            <v>St Catherine's Catholic Primary School (Hallam)</v>
          </cell>
          <cell r="F110">
            <v>421</v>
          </cell>
          <cell r="G110">
            <v>1457867.6718801607</v>
          </cell>
          <cell r="H110">
            <v>58646.399999999987</v>
          </cell>
          <cell r="I110">
            <v>94660.009999999922</v>
          </cell>
          <cell r="J110">
            <v>158157.35760401937</v>
          </cell>
          <cell r="K110">
            <v>137773.86535778348</v>
          </cell>
          <cell r="L110">
            <v>81393.333333333241</v>
          </cell>
          <cell r="M110">
            <v>1988498.6381752966</v>
          </cell>
          <cell r="N110">
            <v>128000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8806</v>
          </cell>
          <cell r="Z110">
            <v>2125304.6381752966</v>
          </cell>
        </row>
        <row r="111">
          <cell r="D111">
            <v>2017</v>
          </cell>
          <cell r="E111" t="str">
            <v>St John Fisher Primary, A Catholic Voluntary Academy</v>
          </cell>
          <cell r="F111">
            <v>208</v>
          </cell>
          <cell r="G111">
            <v>720276.66449186089</v>
          </cell>
          <cell r="H111">
            <v>12988.799999999988</v>
          </cell>
          <cell r="I111">
            <v>21102.550000000028</v>
          </cell>
          <cell r="J111">
            <v>32381.335835549708</v>
          </cell>
          <cell r="K111">
            <v>57969.843749999978</v>
          </cell>
          <cell r="L111">
            <v>10166.292134831459</v>
          </cell>
          <cell r="M111">
            <v>854885.48621224216</v>
          </cell>
          <cell r="N111">
            <v>128000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9069.8376413182486</v>
          </cell>
          <cell r="U111">
            <v>9069.8376413182486</v>
          </cell>
          <cell r="V111">
            <v>0</v>
          </cell>
          <cell r="W111">
            <v>0</v>
          </cell>
          <cell r="X111">
            <v>0</v>
          </cell>
          <cell r="Y111">
            <v>3251</v>
          </cell>
          <cell r="Z111">
            <v>995206.32385356061</v>
          </cell>
        </row>
        <row r="112">
          <cell r="D112">
            <v>5203</v>
          </cell>
          <cell r="E112" t="str">
            <v>St Joseph's Primary School</v>
          </cell>
          <cell r="F112">
            <v>207</v>
          </cell>
          <cell r="G112">
            <v>716813.79591257311</v>
          </cell>
          <cell r="H112">
            <v>11414.400000000005</v>
          </cell>
          <cell r="I112">
            <v>18087.899999999991</v>
          </cell>
          <cell r="J112">
            <v>35124.741865107782</v>
          </cell>
          <cell r="K112">
            <v>74930.815384615431</v>
          </cell>
          <cell r="L112">
            <v>18314.237288135602</v>
          </cell>
          <cell r="M112">
            <v>874685.89045043197</v>
          </cell>
          <cell r="N112">
            <v>128000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12780.949980120991</v>
          </cell>
          <cell r="U112">
            <v>12780.949980120991</v>
          </cell>
          <cell r="V112">
            <v>0</v>
          </cell>
          <cell r="W112">
            <v>0</v>
          </cell>
          <cell r="X112">
            <v>0</v>
          </cell>
          <cell r="Y112">
            <v>3046</v>
          </cell>
          <cell r="Z112">
            <v>1018512.8404305532</v>
          </cell>
        </row>
        <row r="113">
          <cell r="D113">
            <v>3406</v>
          </cell>
          <cell r="E113" t="str">
            <v>St Marie's School, A Catholic Voluntary Academy</v>
          </cell>
          <cell r="F113">
            <v>216</v>
          </cell>
          <cell r="G113">
            <v>747979.61312616325</v>
          </cell>
          <cell r="H113">
            <v>10233.599999999968</v>
          </cell>
          <cell r="I113">
            <v>16279.109999999999</v>
          </cell>
          <cell r="J113">
            <v>19715.944665756906</v>
          </cell>
          <cell r="K113">
            <v>32196.405405405374</v>
          </cell>
          <cell r="L113">
            <v>15741.989528795797</v>
          </cell>
          <cell r="M113">
            <v>842146.66272612126</v>
          </cell>
          <cell r="N113">
            <v>128000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14183.644239097261</v>
          </cell>
          <cell r="U113">
            <v>14183.644239097261</v>
          </cell>
          <cell r="V113">
            <v>0</v>
          </cell>
          <cell r="W113">
            <v>0</v>
          </cell>
          <cell r="X113">
            <v>0</v>
          </cell>
          <cell r="Y113">
            <v>4915</v>
          </cell>
          <cell r="Z113">
            <v>989245.30696521874</v>
          </cell>
        </row>
        <row r="114">
          <cell r="D114">
            <v>2020</v>
          </cell>
          <cell r="E114" t="str">
            <v>St Mary's Church of England Primary School</v>
          </cell>
          <cell r="F114">
            <v>204</v>
          </cell>
          <cell r="G114">
            <v>706425.19017470977</v>
          </cell>
          <cell r="H114">
            <v>25190.399999999961</v>
          </cell>
          <cell r="I114">
            <v>39793.380000000012</v>
          </cell>
          <cell r="J114">
            <v>41050.681782688371</v>
          </cell>
          <cell r="K114">
            <v>50951.095890411016</v>
          </cell>
          <cell r="L114">
            <v>33805.714285714319</v>
          </cell>
          <cell r="M114">
            <v>897216.46213352343</v>
          </cell>
          <cell r="N114">
            <v>128000</v>
          </cell>
          <cell r="O114">
            <v>10168.200000000061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7459.477319863453</v>
          </cell>
          <cell r="U114">
            <v>7459.477319863453</v>
          </cell>
          <cell r="V114">
            <v>0</v>
          </cell>
          <cell r="W114">
            <v>0</v>
          </cell>
          <cell r="X114">
            <v>0</v>
          </cell>
          <cell r="Y114">
            <v>2458</v>
          </cell>
          <cell r="Z114">
            <v>1045302.1394533865</v>
          </cell>
        </row>
        <row r="115">
          <cell r="D115">
            <v>3423</v>
          </cell>
          <cell r="E115" t="str">
            <v>St Mary's Primary School, A Catholic Voluntary Academy</v>
          </cell>
          <cell r="F115">
            <v>176</v>
          </cell>
          <cell r="G115">
            <v>609464.86995465157</v>
          </cell>
          <cell r="H115">
            <v>8659.1999999999989</v>
          </cell>
          <cell r="I115">
            <v>13264.46</v>
          </cell>
          <cell r="J115">
            <v>20273.770558433756</v>
          </cell>
          <cell r="K115">
            <v>35095.27321488435</v>
          </cell>
          <cell r="L115">
            <v>1292.1518987341808</v>
          </cell>
          <cell r="M115">
            <v>688049.7256267037</v>
          </cell>
          <cell r="N115">
            <v>128000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24687.370821173059</v>
          </cell>
          <cell r="U115">
            <v>24687.370821173059</v>
          </cell>
          <cell r="V115">
            <v>0</v>
          </cell>
          <cell r="W115">
            <v>0</v>
          </cell>
          <cell r="X115">
            <v>0</v>
          </cell>
          <cell r="Y115">
            <v>3533</v>
          </cell>
          <cell r="Z115">
            <v>844270.09644787677</v>
          </cell>
        </row>
        <row r="116">
          <cell r="D116">
            <v>5207</v>
          </cell>
          <cell r="E116" t="str">
            <v>St Patrick's Catholic Voluntary Academy</v>
          </cell>
          <cell r="F116">
            <v>279</v>
          </cell>
          <cell r="G116">
            <v>966140.33362129412</v>
          </cell>
          <cell r="H116">
            <v>34243.199999999961</v>
          </cell>
          <cell r="I116">
            <v>52454.909999999938</v>
          </cell>
          <cell r="J116">
            <v>109343.0196514171</v>
          </cell>
          <cell r="K116">
            <v>97941.39588859411</v>
          </cell>
          <cell r="L116">
            <v>33853.556485355635</v>
          </cell>
          <cell r="M116">
            <v>1293976.4156466611</v>
          </cell>
          <cell r="N116">
            <v>128000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4224</v>
          </cell>
          <cell r="Z116">
            <v>1426200.4156466611</v>
          </cell>
        </row>
        <row r="117">
          <cell r="D117">
            <v>5208</v>
          </cell>
          <cell r="E117" t="str">
            <v>St Theresa's Catholic Primary School</v>
          </cell>
          <cell r="F117">
            <v>207</v>
          </cell>
          <cell r="G117">
            <v>716813.79591257311</v>
          </cell>
          <cell r="H117">
            <v>24009.599999999977</v>
          </cell>
          <cell r="I117">
            <v>39793.380000000005</v>
          </cell>
          <cell r="J117">
            <v>91017.067373969723</v>
          </cell>
          <cell r="K117">
            <v>81537.658959537657</v>
          </cell>
          <cell r="L117">
            <v>27132.203389830538</v>
          </cell>
          <cell r="M117">
            <v>980303.70563591097</v>
          </cell>
          <cell r="N117">
            <v>128000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3328</v>
          </cell>
          <cell r="Z117">
            <v>1111631.7056359109</v>
          </cell>
        </row>
        <row r="118">
          <cell r="D118">
            <v>3424</v>
          </cell>
          <cell r="E118" t="str">
            <v>St Thomas More Catholic Primary, A Voluntary Academy</v>
          </cell>
          <cell r="F118">
            <v>208</v>
          </cell>
          <cell r="G118">
            <v>720276.66449186089</v>
          </cell>
          <cell r="H118">
            <v>15743.999999999973</v>
          </cell>
          <cell r="I118">
            <v>24117.199999999961</v>
          </cell>
          <cell r="J118">
            <v>57117.713535397808</v>
          </cell>
          <cell r="K118">
            <v>63792.542372881413</v>
          </cell>
          <cell r="L118">
            <v>10166.292134831459</v>
          </cell>
          <cell r="M118">
            <v>891214.41253497149</v>
          </cell>
          <cell r="N118">
            <v>128000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2816</v>
          </cell>
          <cell r="Z118">
            <v>1022030.4125349715</v>
          </cell>
        </row>
        <row r="119">
          <cell r="D119">
            <v>3414</v>
          </cell>
          <cell r="E119" t="str">
            <v>St Thomas of Canterbury School, a Catholic Voluntary Academy</v>
          </cell>
          <cell r="F119">
            <v>210</v>
          </cell>
          <cell r="G119">
            <v>727202.40165043646</v>
          </cell>
          <cell r="H119">
            <v>12988.799999999988</v>
          </cell>
          <cell r="I119">
            <v>20499.62000000001</v>
          </cell>
          <cell r="J119">
            <v>23136.057515939247</v>
          </cell>
          <cell r="K119">
            <v>37800.000000000015</v>
          </cell>
          <cell r="L119">
            <v>10264.044943820223</v>
          </cell>
          <cell r="M119">
            <v>831890.92411019595</v>
          </cell>
          <cell r="N119">
            <v>128000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3763</v>
          </cell>
          <cell r="Z119">
            <v>963653.92411019595</v>
          </cell>
        </row>
        <row r="120">
          <cell r="D120">
            <v>3412</v>
          </cell>
          <cell r="E120" t="str">
            <v>St Wilfrid's Catholic Primary School</v>
          </cell>
          <cell r="F120">
            <v>297</v>
          </cell>
          <cell r="G120">
            <v>1028471.9680484744</v>
          </cell>
          <cell r="H120">
            <v>6297.6000000000022</v>
          </cell>
          <cell r="I120">
            <v>9646.8800000000028</v>
          </cell>
          <cell r="J120">
            <v>14393.73696841437</v>
          </cell>
          <cell r="K120">
            <v>20073.201923076915</v>
          </cell>
          <cell r="L120">
            <v>8482.4999999999927</v>
          </cell>
          <cell r="M120">
            <v>1087365.8869399657</v>
          </cell>
          <cell r="N120">
            <v>128000</v>
          </cell>
          <cell r="O120">
            <v>0</v>
          </cell>
          <cell r="P120">
            <v>92919.113060034404</v>
          </cell>
          <cell r="Q120">
            <v>92919.113060034404</v>
          </cell>
          <cell r="R120">
            <v>0</v>
          </cell>
          <cell r="S120">
            <v>0</v>
          </cell>
          <cell r="T120">
            <v>1744.1845570034436</v>
          </cell>
          <cell r="U120">
            <v>1744.1845570034436</v>
          </cell>
          <cell r="V120">
            <v>0</v>
          </cell>
          <cell r="W120">
            <v>0</v>
          </cell>
          <cell r="X120">
            <v>0</v>
          </cell>
          <cell r="Y120">
            <v>4506</v>
          </cell>
          <cell r="Z120">
            <v>1314535.1845570034</v>
          </cell>
        </row>
        <row r="121">
          <cell r="D121">
            <v>2294</v>
          </cell>
          <cell r="E121" t="str">
            <v>Stannington Infant School</v>
          </cell>
          <cell r="F121">
            <v>181</v>
          </cell>
          <cell r="G121">
            <v>626779.21285109047</v>
          </cell>
          <cell r="H121">
            <v>8659.2000000000098</v>
          </cell>
          <cell r="I121">
            <v>13264.460000000015</v>
          </cell>
          <cell r="J121">
            <v>5770.2973488370326</v>
          </cell>
          <cell r="K121">
            <v>61766.176927454188</v>
          </cell>
          <cell r="L121">
            <v>2602.8099173553755</v>
          </cell>
          <cell r="M121">
            <v>718842.15704473702</v>
          </cell>
          <cell r="N121">
            <v>128000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2287.5641650875486</v>
          </cell>
          <cell r="U121">
            <v>2287.5641650875486</v>
          </cell>
          <cell r="V121">
            <v>0</v>
          </cell>
          <cell r="W121">
            <v>0</v>
          </cell>
          <cell r="X121">
            <v>0</v>
          </cell>
          <cell r="Y121">
            <v>1894</v>
          </cell>
          <cell r="Z121">
            <v>851023.72120982478</v>
          </cell>
        </row>
        <row r="122">
          <cell r="D122">
            <v>2303</v>
          </cell>
          <cell r="E122" t="str">
            <v>Stocksbridge Junior School</v>
          </cell>
          <cell r="F122">
            <v>295</v>
          </cell>
          <cell r="G122">
            <v>1021546.2308898988</v>
          </cell>
          <cell r="H122">
            <v>30307.199999999953</v>
          </cell>
          <cell r="I122">
            <v>50043.190000000031</v>
          </cell>
          <cell r="J122">
            <v>52490.502032209974</v>
          </cell>
          <cell r="K122">
            <v>108679.23344947728</v>
          </cell>
          <cell r="L122">
            <v>1159.9999999999995</v>
          </cell>
          <cell r="M122">
            <v>1264226.356371586</v>
          </cell>
          <cell r="N122">
            <v>128000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6950.200713296711</v>
          </cell>
          <cell r="U122">
            <v>6950.200713296711</v>
          </cell>
          <cell r="V122">
            <v>0</v>
          </cell>
          <cell r="W122">
            <v>0</v>
          </cell>
          <cell r="X122">
            <v>0</v>
          </cell>
          <cell r="Y122">
            <v>20584</v>
          </cell>
          <cell r="Z122">
            <v>1419760.5570848831</v>
          </cell>
        </row>
        <row r="123">
          <cell r="D123">
            <v>2302</v>
          </cell>
          <cell r="E123" t="str">
            <v>Stocksbridge Nursery Infant School</v>
          </cell>
          <cell r="F123">
            <v>198</v>
          </cell>
          <cell r="G123">
            <v>685647.97869898297</v>
          </cell>
          <cell r="H123">
            <v>22435.200000000008</v>
          </cell>
          <cell r="I123">
            <v>34367.010000000017</v>
          </cell>
          <cell r="J123">
            <v>27616.954030884004</v>
          </cell>
          <cell r="K123">
            <v>94325.45030664689</v>
          </cell>
          <cell r="L123">
            <v>820.28571428571399</v>
          </cell>
          <cell r="M123">
            <v>865212.87875079946</v>
          </cell>
          <cell r="N123">
            <v>128000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16342</v>
          </cell>
          <cell r="Z123">
            <v>1009554.8787507995</v>
          </cell>
        </row>
        <row r="124">
          <cell r="D124">
            <v>2350</v>
          </cell>
          <cell r="E124" t="str">
            <v>Stradbroke Primary School</v>
          </cell>
          <cell r="F124">
            <v>411</v>
          </cell>
          <cell r="G124">
            <v>1423238.9860872829</v>
          </cell>
          <cell r="H124">
            <v>77932.799999999945</v>
          </cell>
          <cell r="I124">
            <v>124806.50999999989</v>
          </cell>
          <cell r="J124">
            <v>137600.1017558648</v>
          </cell>
          <cell r="K124">
            <v>209627.56410256421</v>
          </cell>
          <cell r="L124">
            <v>12830.651558073656</v>
          </cell>
          <cell r="M124">
            <v>1986036.6135037856</v>
          </cell>
          <cell r="N124">
            <v>128000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29184</v>
          </cell>
          <cell r="Z124">
            <v>2143220.6135037858</v>
          </cell>
        </row>
        <row r="125">
          <cell r="D125">
            <v>2230</v>
          </cell>
          <cell r="E125" t="str">
            <v>Tinsley Meadows Primary School</v>
          </cell>
          <cell r="F125">
            <v>545</v>
          </cell>
          <cell r="G125">
            <v>1887263.3757118471</v>
          </cell>
          <cell r="H125">
            <v>92102.400000000081</v>
          </cell>
          <cell r="I125">
            <v>145909.05999999985</v>
          </cell>
          <cell r="J125">
            <v>165317.64734116598</v>
          </cell>
          <cell r="K125">
            <v>216164.22413793107</v>
          </cell>
          <cell r="L125">
            <v>141448.1092436976</v>
          </cell>
          <cell r="M125">
            <v>2648204.8164346418</v>
          </cell>
          <cell r="N125">
            <v>128000</v>
          </cell>
          <cell r="O125">
            <v>16348.500000000031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2790</v>
          </cell>
          <cell r="Z125">
            <v>2795343.3164346418</v>
          </cell>
        </row>
        <row r="126">
          <cell r="D126">
            <v>5206</v>
          </cell>
          <cell r="E126" t="str">
            <v>Totley All Saints Church of England Voluntary Aided Primary School</v>
          </cell>
          <cell r="F126">
            <v>211</v>
          </cell>
          <cell r="G126">
            <v>730665.27022972424</v>
          </cell>
          <cell r="H126">
            <v>6691.199999999998</v>
          </cell>
          <cell r="I126">
            <v>10249.809999999998</v>
          </cell>
          <cell r="J126">
            <v>6913.3831944861995</v>
          </cell>
          <cell r="K126">
            <v>67749.813338165986</v>
          </cell>
          <cell r="L126">
            <v>6051.7582417582353</v>
          </cell>
          <cell r="M126">
            <v>828321.23500413459</v>
          </cell>
          <cell r="N126">
            <v>128000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3277</v>
          </cell>
          <cell r="Z126">
            <v>959598.23500413459</v>
          </cell>
        </row>
        <row r="127">
          <cell r="D127">
            <v>2203</v>
          </cell>
          <cell r="E127" t="str">
            <v>Totley Primary School</v>
          </cell>
          <cell r="F127">
            <v>423</v>
          </cell>
          <cell r="G127">
            <v>1464793.4090387363</v>
          </cell>
          <cell r="H127">
            <v>16531.200000000004</v>
          </cell>
          <cell r="I127">
            <v>26528.920000000046</v>
          </cell>
          <cell r="J127">
            <v>1079.0730382928195</v>
          </cell>
          <cell r="K127">
            <v>80028.32323943662</v>
          </cell>
          <cell r="L127">
            <v>14951.468144044311</v>
          </cell>
          <cell r="M127">
            <v>1603912.3934605101</v>
          </cell>
          <cell r="N127">
            <v>128000</v>
          </cell>
          <cell r="O127">
            <v>0</v>
          </cell>
          <cell r="P127">
            <v>131402.60653948993</v>
          </cell>
          <cell r="Q127">
            <v>131402.60653948993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3405</v>
          </cell>
          <cell r="Z127">
            <v>1866720</v>
          </cell>
        </row>
        <row r="128">
          <cell r="D128">
            <v>2351</v>
          </cell>
          <cell r="E128" t="str">
            <v>Walkley Primary School</v>
          </cell>
          <cell r="F128">
            <v>377</v>
          </cell>
          <cell r="G128">
            <v>1305501.4543914979</v>
          </cell>
          <cell r="H128">
            <v>38572.799999999996</v>
          </cell>
          <cell r="I128">
            <v>59690.069999999942</v>
          </cell>
          <cell r="J128">
            <v>63226.364294547049</v>
          </cell>
          <cell r="K128">
            <v>128911.67763157903</v>
          </cell>
          <cell r="L128">
            <v>33692.893081760922</v>
          </cell>
          <cell r="M128">
            <v>1629595.259399385</v>
          </cell>
          <cell r="N128">
            <v>128000</v>
          </cell>
          <cell r="O128">
            <v>6974.0999999999894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2965.657115529561</v>
          </cell>
          <cell r="U128">
            <v>2965.657115529561</v>
          </cell>
          <cell r="V128">
            <v>0</v>
          </cell>
          <cell r="W128">
            <v>0</v>
          </cell>
          <cell r="X128">
            <v>0</v>
          </cell>
          <cell r="Y128">
            <v>46080</v>
          </cell>
          <cell r="Z128">
            <v>1813615.016514915</v>
          </cell>
        </row>
        <row r="129">
          <cell r="D129">
            <v>3432</v>
          </cell>
          <cell r="E129" t="str">
            <v>Watercliffe Meadow Community Primary School</v>
          </cell>
          <cell r="F129">
            <v>417</v>
          </cell>
          <cell r="G129">
            <v>1444016.1975630096</v>
          </cell>
          <cell r="H129">
            <v>88953.599999999977</v>
          </cell>
          <cell r="I129">
            <v>139879.75999999992</v>
          </cell>
          <cell r="J129">
            <v>192038.42206906094</v>
          </cell>
          <cell r="K129">
            <v>188107.23684210528</v>
          </cell>
          <cell r="L129">
            <v>22969.944134078203</v>
          </cell>
          <cell r="M129">
            <v>2075965.1606082537</v>
          </cell>
          <cell r="N129">
            <v>128000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45568</v>
          </cell>
          <cell r="Z129">
            <v>2249533.1606082534</v>
          </cell>
        </row>
        <row r="130">
          <cell r="D130">
            <v>2319</v>
          </cell>
          <cell r="E130" t="str">
            <v>Waterthorpe Infant School</v>
          </cell>
          <cell r="F130">
            <v>134</v>
          </cell>
          <cell r="G130">
            <v>464024.38962456421</v>
          </cell>
          <cell r="H130">
            <v>18499.199999999975</v>
          </cell>
          <cell r="I130">
            <v>28337.709999999963</v>
          </cell>
          <cell r="J130">
            <v>22532.508189436485</v>
          </cell>
          <cell r="K130">
            <v>66039.559930637784</v>
          </cell>
          <cell r="L130">
            <v>1689.5652173913038</v>
          </cell>
          <cell r="M130">
            <v>601122.93296202982</v>
          </cell>
          <cell r="N130">
            <v>128000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17408</v>
          </cell>
          <cell r="Z130">
            <v>746530.93296202982</v>
          </cell>
        </row>
        <row r="131">
          <cell r="D131">
            <v>2352</v>
          </cell>
          <cell r="E131" t="str">
            <v>Westways Primary School</v>
          </cell>
          <cell r="F131">
            <v>580</v>
          </cell>
          <cell r="G131">
            <v>2008463.7759869199</v>
          </cell>
          <cell r="H131">
            <v>37392.000000000022</v>
          </cell>
          <cell r="I131">
            <v>58484.210000000057</v>
          </cell>
          <cell r="J131">
            <v>40172.608959494544</v>
          </cell>
          <cell r="K131">
            <v>124283.02992903428</v>
          </cell>
          <cell r="L131">
            <v>69318.787878787858</v>
          </cell>
          <cell r="M131">
            <v>2338114.4127542372</v>
          </cell>
          <cell r="N131">
            <v>128000</v>
          </cell>
          <cell r="O131">
            <v>19088.999999999975</v>
          </cell>
          <cell r="P131">
            <v>69696.587245763018</v>
          </cell>
          <cell r="Q131">
            <v>69696.587245763018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31744</v>
          </cell>
          <cell r="Z131">
            <v>2586644.0000000009</v>
          </cell>
        </row>
        <row r="132">
          <cell r="D132">
            <v>2311</v>
          </cell>
          <cell r="E132" t="str">
            <v>Wharncliffe Side Primary School</v>
          </cell>
          <cell r="F132">
            <v>142</v>
          </cell>
          <cell r="G132">
            <v>491727.33825886657</v>
          </cell>
          <cell r="H132">
            <v>16531.2</v>
          </cell>
          <cell r="I132">
            <v>25925.990000000023</v>
          </cell>
          <cell r="J132">
            <v>23977.368698337032</v>
          </cell>
          <cell r="K132">
            <v>64631.059322033914</v>
          </cell>
          <cell r="L132">
            <v>2076.3025210083997</v>
          </cell>
          <cell r="M132">
            <v>624869.25880024594</v>
          </cell>
          <cell r="N132">
            <v>128000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1949.4532710280366</v>
          </cell>
          <cell r="Y132">
            <v>3251</v>
          </cell>
          <cell r="Z132">
            <v>758069.71207127406</v>
          </cell>
        </row>
        <row r="133">
          <cell r="D133">
            <v>2040</v>
          </cell>
          <cell r="E133" t="str">
            <v>Whiteways Primary School</v>
          </cell>
          <cell r="F133">
            <v>406</v>
          </cell>
          <cell r="G133">
            <v>1405924.6431908438</v>
          </cell>
          <cell r="H133">
            <v>86985.599999999977</v>
          </cell>
          <cell r="I133">
            <v>137468.04</v>
          </cell>
          <cell r="J133">
            <v>150829.0314251284</v>
          </cell>
          <cell r="K133">
            <v>258311.68576104744</v>
          </cell>
          <cell r="L133">
            <v>120327.6923076923</v>
          </cell>
          <cell r="M133">
            <v>2159846.6926847119</v>
          </cell>
          <cell r="N133">
            <v>128000</v>
          </cell>
          <cell r="O133">
            <v>24215.553768844136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7270</v>
          </cell>
          <cell r="Z133">
            <v>2319332.2464535562</v>
          </cell>
        </row>
        <row r="134">
          <cell r="D134">
            <v>2027</v>
          </cell>
          <cell r="E134" t="str">
            <v>Wincobank Nursery and Infant School</v>
          </cell>
          <cell r="F134">
            <v>137</v>
          </cell>
          <cell r="G134">
            <v>474412.99536242761</v>
          </cell>
          <cell r="H134">
            <v>28339.199999999975</v>
          </cell>
          <cell r="I134">
            <v>43410.959999999963</v>
          </cell>
          <cell r="J134">
            <v>40712.145478640901</v>
          </cell>
          <cell r="K134">
            <v>42094.415952737123</v>
          </cell>
          <cell r="L134">
            <v>17942.580645161273</v>
          </cell>
          <cell r="M134">
            <v>646912.29743896681</v>
          </cell>
          <cell r="N134">
            <v>128000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15324.169062759076</v>
          </cell>
          <cell r="U134">
            <v>15324.169062759076</v>
          </cell>
          <cell r="V134">
            <v>0</v>
          </cell>
          <cell r="W134">
            <v>0</v>
          </cell>
          <cell r="X134">
            <v>0</v>
          </cell>
          <cell r="Y134">
            <v>2406</v>
          </cell>
          <cell r="Z134">
            <v>792642.46650172584</v>
          </cell>
        </row>
        <row r="135">
          <cell r="D135">
            <v>2361</v>
          </cell>
          <cell r="E135" t="str">
            <v>Windmill Hill Primary School</v>
          </cell>
          <cell r="F135">
            <v>315</v>
          </cell>
          <cell r="G135">
            <v>1090803.6024756548</v>
          </cell>
          <cell r="H135">
            <v>21254.399999999947</v>
          </cell>
          <cell r="I135">
            <v>32558.219999999921</v>
          </cell>
          <cell r="J135">
            <v>27927.873380900543</v>
          </cell>
          <cell r="K135">
            <v>92012.12686567154</v>
          </cell>
          <cell r="L135">
            <v>2686.7647058823572</v>
          </cell>
          <cell r="M135">
            <v>1267242.9874281092</v>
          </cell>
          <cell r="N135">
            <v>128000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9307.0992078896834</v>
          </cell>
          <cell r="U135">
            <v>9307.0992078896834</v>
          </cell>
          <cell r="V135">
            <v>0</v>
          </cell>
          <cell r="W135">
            <v>0</v>
          </cell>
          <cell r="X135">
            <v>0</v>
          </cell>
          <cell r="Y135">
            <v>4429</v>
          </cell>
          <cell r="Z135">
            <v>1408979.0866359989</v>
          </cell>
        </row>
        <row r="136">
          <cell r="D136">
            <v>2043</v>
          </cell>
          <cell r="E136" t="str">
            <v>Wisewood Community Primary School</v>
          </cell>
          <cell r="F136">
            <v>156</v>
          </cell>
          <cell r="G136">
            <v>540207.49836889561</v>
          </cell>
          <cell r="H136">
            <v>35030.399999999972</v>
          </cell>
          <cell r="I136">
            <v>53660.769999999953</v>
          </cell>
          <cell r="J136">
            <v>23428.687492425423</v>
          </cell>
          <cell r="K136">
            <v>68143.359375000015</v>
          </cell>
          <cell r="L136">
            <v>5322.3529411764703</v>
          </cell>
          <cell r="M136">
            <v>725793.06817749748</v>
          </cell>
          <cell r="N136">
            <v>128000</v>
          </cell>
          <cell r="O136">
            <v>2494.7999999999965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2509</v>
          </cell>
          <cell r="Z136">
            <v>858796.86817749753</v>
          </cell>
        </row>
        <row r="137">
          <cell r="D137">
            <v>2139</v>
          </cell>
          <cell r="E137" t="str">
            <v>Woodhouse West Primary School</v>
          </cell>
          <cell r="F137">
            <v>360</v>
          </cell>
          <cell r="G137">
            <v>1246632.6885436054</v>
          </cell>
          <cell r="H137">
            <v>72028.799999999945</v>
          </cell>
          <cell r="I137">
            <v>113350.83999999995</v>
          </cell>
          <cell r="J137">
            <v>121377.42743441166</v>
          </cell>
          <cell r="K137">
            <v>170961.99324324311</v>
          </cell>
          <cell r="L137">
            <v>14770.418006430869</v>
          </cell>
          <cell r="M137">
            <v>1739122.1672276908</v>
          </cell>
          <cell r="N137">
            <v>128000</v>
          </cell>
          <cell r="O137">
            <v>9828.0000000000073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5171</v>
          </cell>
          <cell r="Z137">
            <v>1882121.1672276908</v>
          </cell>
        </row>
        <row r="138">
          <cell r="D138">
            <v>2034</v>
          </cell>
          <cell r="E138" t="str">
            <v>Woodlands Primary School</v>
          </cell>
          <cell r="F138">
            <v>395</v>
          </cell>
          <cell r="G138">
            <v>1367833.0888186782</v>
          </cell>
          <cell r="H138">
            <v>102336.00000000001</v>
          </cell>
          <cell r="I138">
            <v>161585.24000000002</v>
          </cell>
          <cell r="J138">
            <v>189551.06726892837</v>
          </cell>
          <cell r="K138">
            <v>169819.33229813667</v>
          </cell>
          <cell r="L138">
            <v>19656.508875739637</v>
          </cell>
          <cell r="M138">
            <v>2010781.2372614827</v>
          </cell>
          <cell r="N138">
            <v>128000</v>
          </cell>
          <cell r="O138">
            <v>17394.236040609288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10240</v>
          </cell>
          <cell r="Z138">
            <v>2166415.4733020924</v>
          </cell>
        </row>
        <row r="139">
          <cell r="D139">
            <v>2324</v>
          </cell>
          <cell r="E139" t="str">
            <v>Woodseats Primary School</v>
          </cell>
          <cell r="F139">
            <v>363</v>
          </cell>
          <cell r="G139">
            <v>1257021.2942814687</v>
          </cell>
          <cell r="H139">
            <v>48019.199999999932</v>
          </cell>
          <cell r="I139">
            <v>74763.320000000051</v>
          </cell>
          <cell r="J139">
            <v>60583.54981940618</v>
          </cell>
          <cell r="K139">
            <v>108146.53219063539</v>
          </cell>
          <cell r="L139">
            <v>23909.905362776008</v>
          </cell>
          <cell r="M139">
            <v>1572443.8016542862</v>
          </cell>
          <cell r="N139">
            <v>128000</v>
          </cell>
          <cell r="O139">
            <v>4124.0218836565318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4838</v>
          </cell>
          <cell r="Z139">
            <v>1709405.823537943</v>
          </cell>
        </row>
        <row r="140">
          <cell r="D140">
            <v>2327</v>
          </cell>
          <cell r="E140" t="str">
            <v>Woodthorpe Primary School</v>
          </cell>
          <cell r="F140">
            <v>406</v>
          </cell>
          <cell r="G140">
            <v>1405924.6431908438</v>
          </cell>
          <cell r="H140">
            <v>100367.99999999997</v>
          </cell>
          <cell r="I140">
            <v>154953.00999999989</v>
          </cell>
          <cell r="J140">
            <v>198037.33658702788</v>
          </cell>
          <cell r="K140">
            <v>162641.17346938772</v>
          </cell>
          <cell r="L140">
            <v>16023.786982248517</v>
          </cell>
          <cell r="M140">
            <v>2037947.9502295079</v>
          </cell>
          <cell r="N140">
            <v>128000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9421</v>
          </cell>
          <cell r="Z140">
            <v>2175368.9502295079</v>
          </cell>
        </row>
        <row r="141">
          <cell r="D141">
            <v>2321</v>
          </cell>
          <cell r="E141" t="str">
            <v>Wybourn Community Primary &amp; Nursery School</v>
          </cell>
          <cell r="F141">
            <v>424</v>
          </cell>
          <cell r="G141">
            <v>1468256.277618024</v>
          </cell>
          <cell r="H141">
            <v>114537.59999999996</v>
          </cell>
          <cell r="I141">
            <v>179070.21000000008</v>
          </cell>
          <cell r="J141">
            <v>205837.75439773771</v>
          </cell>
          <cell r="K141">
            <v>245577.16809910201</v>
          </cell>
          <cell r="L141">
            <v>25066.225895316711</v>
          </cell>
          <cell r="M141">
            <v>2238345.2360101808</v>
          </cell>
          <cell r="N141">
            <v>128000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10000</v>
          </cell>
          <cell r="X141">
            <v>0</v>
          </cell>
          <cell r="Y141">
            <v>7859</v>
          </cell>
          <cell r="Z141">
            <v>2384204.2360101808</v>
          </cell>
        </row>
        <row r="143">
          <cell r="E143" t="str">
            <v>Total Primary</v>
          </cell>
          <cell r="F143">
            <v>43411</v>
          </cell>
          <cell r="G143">
            <v>150326587.89546236</v>
          </cell>
          <cell r="H143">
            <v>5649734.3999999994</v>
          </cell>
          <cell r="I143">
            <v>8895026.290000001</v>
          </cell>
          <cell r="J143">
            <v>10154587.805855075</v>
          </cell>
          <cell r="K143">
            <v>15334175.473816743</v>
          </cell>
          <cell r="L143">
            <v>3546145.7662161114</v>
          </cell>
          <cell r="M143">
            <v>193906257.63135034</v>
          </cell>
          <cell r="N143">
            <v>17024000</v>
          </cell>
          <cell r="O143">
            <v>553219.92476984242</v>
          </cell>
          <cell r="P143">
            <v>2187900.1710243043</v>
          </cell>
          <cell r="Q143">
            <v>2187900.1710243043</v>
          </cell>
          <cell r="R143">
            <v>0</v>
          </cell>
          <cell r="S143">
            <v>0</v>
          </cell>
          <cell r="T143">
            <v>782379.56109185051</v>
          </cell>
          <cell r="U143">
            <v>782379.56109185051</v>
          </cell>
          <cell r="V143">
            <v>583695.65323932236</v>
          </cell>
          <cell r="W143">
            <v>99702.592260313162</v>
          </cell>
          <cell r="X143">
            <v>11570.815086782359</v>
          </cell>
          <cell r="Y143">
            <v>1903702</v>
          </cell>
          <cell r="Z143">
            <v>217052428.3488228</v>
          </cell>
        </row>
        <row r="144">
          <cell r="Q144">
            <v>23</v>
          </cell>
          <cell r="S144">
            <v>0</v>
          </cell>
          <cell r="U144">
            <v>47</v>
          </cell>
        </row>
        <row r="145">
          <cell r="E145" t="str">
            <v>Secondary</v>
          </cell>
          <cell r="N145">
            <v>128000</v>
          </cell>
          <cell r="S145">
            <v>0</v>
          </cell>
          <cell r="U145">
            <v>5882.5530909161689</v>
          </cell>
        </row>
        <row r="146">
          <cell r="R146">
            <v>5715</v>
          </cell>
        </row>
        <row r="147">
          <cell r="D147">
            <v>5401</v>
          </cell>
          <cell r="E147" t="str">
            <v>All Saints' Catholic High School</v>
          </cell>
          <cell r="F147">
            <v>1034</v>
          </cell>
          <cell r="G147">
            <v>5198794</v>
          </cell>
          <cell r="H147">
            <v>113097.59999999998</v>
          </cell>
          <cell r="I147">
            <v>224776.8999999997</v>
          </cell>
          <cell r="J147">
            <v>420834.94608608796</v>
          </cell>
          <cell r="K147">
            <v>385805.10034359555</v>
          </cell>
          <cell r="L147">
            <v>37596.360116166456</v>
          </cell>
          <cell r="M147">
            <v>6380904.9065458486</v>
          </cell>
          <cell r="N147">
            <v>128000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34816</v>
          </cell>
          <cell r="Z147">
            <v>6543720.9065458486</v>
          </cell>
        </row>
        <row r="148">
          <cell r="D148">
            <v>4017</v>
          </cell>
          <cell r="E148" t="str">
            <v>Bradfield School</v>
          </cell>
          <cell r="F148">
            <v>1065</v>
          </cell>
          <cell r="G148">
            <v>5355641</v>
          </cell>
          <cell r="H148">
            <v>77932.80000000025</v>
          </cell>
          <cell r="I148">
            <v>144730.45000000001</v>
          </cell>
          <cell r="J148">
            <v>104498.26562325197</v>
          </cell>
          <cell r="K148">
            <v>275061.32715234341</v>
          </cell>
          <cell r="L148">
            <v>10996.300659754943</v>
          </cell>
          <cell r="M148">
            <v>5968860.1434353506</v>
          </cell>
          <cell r="N148">
            <v>128000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216.63570433214602</v>
          </cell>
          <cell r="U148">
            <v>216.63570433214602</v>
          </cell>
          <cell r="V148">
            <v>588368.18322680285</v>
          </cell>
          <cell r="W148">
            <v>0</v>
          </cell>
          <cell r="X148">
            <v>0</v>
          </cell>
          <cell r="Y148">
            <v>31488</v>
          </cell>
          <cell r="Z148">
            <v>6716932.9623664878</v>
          </cell>
        </row>
        <row r="149">
          <cell r="D149">
            <v>4000</v>
          </cell>
          <cell r="E149" t="str">
            <v>Chaucer School</v>
          </cell>
          <cell r="F149">
            <v>842</v>
          </cell>
          <cell r="G149">
            <v>4230826</v>
          </cell>
          <cell r="H149">
            <v>215265.59999999992</v>
          </cell>
          <cell r="I149">
            <v>406700.65000000031</v>
          </cell>
          <cell r="J149">
            <v>510279.51244255633</v>
          </cell>
          <cell r="K149">
            <v>478085.01862421364</v>
          </cell>
          <cell r="L149">
            <v>51360.974421437269</v>
          </cell>
          <cell r="M149">
            <v>5892517.7554882066</v>
          </cell>
          <cell r="N149">
            <v>128000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17408</v>
          </cell>
          <cell r="Z149">
            <v>6037925.7554882066</v>
          </cell>
        </row>
        <row r="150">
          <cell r="D150">
            <v>4012</v>
          </cell>
          <cell r="E150" t="str">
            <v>Ecclesfield School</v>
          </cell>
          <cell r="F150">
            <v>1701</v>
          </cell>
          <cell r="G150">
            <v>8537525</v>
          </cell>
          <cell r="H150">
            <v>208137.59999999986</v>
          </cell>
          <cell r="I150">
            <v>397806.60000000015</v>
          </cell>
          <cell r="J150">
            <v>426046.27101924701</v>
          </cell>
          <cell r="K150">
            <v>771470.46322899649</v>
          </cell>
          <cell r="L150">
            <v>28219.77031802115</v>
          </cell>
          <cell r="M150">
            <v>10369205.704566265</v>
          </cell>
          <cell r="N150">
            <v>128000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856916.73366055824</v>
          </cell>
          <cell r="W150">
            <v>0</v>
          </cell>
          <cell r="X150">
            <v>0</v>
          </cell>
          <cell r="Y150">
            <v>43520</v>
          </cell>
          <cell r="Z150">
            <v>11397642.438226825</v>
          </cell>
        </row>
        <row r="151">
          <cell r="D151">
            <v>4280</v>
          </cell>
          <cell r="E151" t="str">
            <v>Fir Vale School</v>
          </cell>
          <cell r="F151">
            <v>1025</v>
          </cell>
          <cell r="G151">
            <v>5149041</v>
          </cell>
          <cell r="H151">
            <v>318384.00000000006</v>
          </cell>
          <cell r="I151">
            <v>567602.10000000009</v>
          </cell>
          <cell r="J151">
            <v>522024.53639489535</v>
          </cell>
          <cell r="K151">
            <v>711908.47211556404</v>
          </cell>
          <cell r="L151">
            <v>264988.20058996993</v>
          </cell>
          <cell r="M151">
            <v>7533948.3091004286</v>
          </cell>
          <cell r="N151">
            <v>128000</v>
          </cell>
          <cell r="O151">
            <v>93678.982387475597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516366.63844919001</v>
          </cell>
          <cell r="W151">
            <v>0</v>
          </cell>
          <cell r="X151">
            <v>0</v>
          </cell>
          <cell r="Y151">
            <v>29952</v>
          </cell>
          <cell r="Z151">
            <v>8301945.9299370944</v>
          </cell>
        </row>
        <row r="152">
          <cell r="D152">
            <v>4003</v>
          </cell>
          <cell r="E152" t="str">
            <v>Firth Park Academy</v>
          </cell>
          <cell r="F152">
            <v>1166</v>
          </cell>
          <cell r="G152">
            <v>5846222</v>
          </cell>
          <cell r="H152">
            <v>276091.20000000013</v>
          </cell>
          <cell r="I152">
            <v>514237.79999999958</v>
          </cell>
          <cell r="J152">
            <v>699902.51630198967</v>
          </cell>
          <cell r="K152">
            <v>577614.18695035565</v>
          </cell>
          <cell r="L152">
            <v>137719.99999999991</v>
          </cell>
          <cell r="M152">
            <v>8051787.7032523453</v>
          </cell>
          <cell r="N152">
            <v>128000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20275</v>
          </cell>
          <cell r="Z152">
            <v>8200062.7032523453</v>
          </cell>
        </row>
        <row r="153">
          <cell r="D153">
            <v>4007</v>
          </cell>
          <cell r="E153" t="str">
            <v>Forge Valley School</v>
          </cell>
          <cell r="F153">
            <v>1243</v>
          </cell>
          <cell r="G153">
            <v>6235339</v>
          </cell>
          <cell r="H153">
            <v>144460.79999999996</v>
          </cell>
          <cell r="I153">
            <v>276524.10000000033</v>
          </cell>
          <cell r="J153">
            <v>205808.89048259266</v>
          </cell>
          <cell r="K153">
            <v>388741.14546251792</v>
          </cell>
          <cell r="L153">
            <v>54863.275584206283</v>
          </cell>
          <cell r="M153">
            <v>7305737.2115293164</v>
          </cell>
          <cell r="N153">
            <v>128000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35072</v>
          </cell>
          <cell r="Z153">
            <v>7468809.2115293164</v>
          </cell>
        </row>
        <row r="154">
          <cell r="D154">
            <v>4278</v>
          </cell>
          <cell r="E154" t="str">
            <v>Handsworth Grange Community Sports College</v>
          </cell>
          <cell r="F154">
            <v>1015</v>
          </cell>
          <cell r="G154">
            <v>5099975</v>
          </cell>
          <cell r="H154">
            <v>142559.99999999991</v>
          </cell>
          <cell r="I154">
            <v>270055.70000000007</v>
          </cell>
          <cell r="J154">
            <v>259439.47446960787</v>
          </cell>
          <cell r="K154">
            <v>442499.61616381037</v>
          </cell>
          <cell r="L154">
            <v>14085.000000000005</v>
          </cell>
          <cell r="M154">
            <v>6228614.7906334186</v>
          </cell>
          <cell r="N154">
            <v>128000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26112</v>
          </cell>
          <cell r="Z154">
            <v>6382726.7906334186</v>
          </cell>
        </row>
        <row r="155">
          <cell r="D155">
            <v>4257</v>
          </cell>
          <cell r="E155" t="str">
            <v>High Storrs School</v>
          </cell>
          <cell r="F155">
            <v>1214</v>
          </cell>
          <cell r="G155">
            <v>6103262</v>
          </cell>
          <cell r="H155">
            <v>39441.600000000006</v>
          </cell>
          <cell r="I155">
            <v>80855.000000000044</v>
          </cell>
          <cell r="J155">
            <v>20526.219747558996</v>
          </cell>
          <cell r="K155">
            <v>275938.85839833668</v>
          </cell>
          <cell r="L155">
            <v>25164.370860927189</v>
          </cell>
          <cell r="M155">
            <v>6545188.0490068225</v>
          </cell>
          <cell r="N155">
            <v>128000</v>
          </cell>
          <cell r="O155">
            <v>0</v>
          </cell>
          <cell r="P155">
            <v>264821.95099317626</v>
          </cell>
          <cell r="Q155">
            <v>264821.95099317626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37120</v>
          </cell>
          <cell r="Z155">
            <v>6975129.9999999991</v>
          </cell>
        </row>
        <row r="156">
          <cell r="D156">
            <v>4230</v>
          </cell>
          <cell r="E156" t="str">
            <v>King Ecgbert School</v>
          </cell>
          <cell r="F156">
            <v>1030</v>
          </cell>
          <cell r="G156">
            <v>5176006</v>
          </cell>
          <cell r="H156">
            <v>88387.200000000172</v>
          </cell>
          <cell r="I156">
            <v>164944.19999999963</v>
          </cell>
          <cell r="J156">
            <v>79518.600534028374</v>
          </cell>
          <cell r="K156">
            <v>361025.14006333164</v>
          </cell>
          <cell r="L156">
            <v>29735.000000000044</v>
          </cell>
          <cell r="M156">
            <v>5899616.1405973593</v>
          </cell>
          <cell r="N156">
            <v>128000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802827.29877510283</v>
          </cell>
          <cell r="W156">
            <v>0</v>
          </cell>
          <cell r="X156">
            <v>0</v>
          </cell>
          <cell r="Y156">
            <v>40960</v>
          </cell>
          <cell r="Z156">
            <v>6871403.4393724622</v>
          </cell>
        </row>
        <row r="157">
          <cell r="D157">
            <v>4259</v>
          </cell>
          <cell r="E157" t="str">
            <v>King Edward VII School</v>
          </cell>
          <cell r="F157">
            <v>1141</v>
          </cell>
          <cell r="G157">
            <v>5737541</v>
          </cell>
          <cell r="H157">
            <v>144936.0000000002</v>
          </cell>
          <cell r="I157">
            <v>278141.20000000007</v>
          </cell>
          <cell r="J157">
            <v>254540.26406069467</v>
          </cell>
          <cell r="K157">
            <v>365752.68856892991</v>
          </cell>
          <cell r="L157">
            <v>109549.99999999993</v>
          </cell>
          <cell r="M157">
            <v>6890461.1526296251</v>
          </cell>
          <cell r="N157">
            <v>128000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574804.2287517325</v>
          </cell>
          <cell r="W157">
            <v>385954.32764288998</v>
          </cell>
          <cell r="X157">
            <v>0</v>
          </cell>
          <cell r="Y157">
            <v>268800</v>
          </cell>
          <cell r="Z157">
            <v>8248019.7090242468</v>
          </cell>
        </row>
        <row r="158">
          <cell r="D158">
            <v>4279</v>
          </cell>
          <cell r="E158" t="str">
            <v>Meadowhead School Academy Trust</v>
          </cell>
          <cell r="F158">
            <v>1640</v>
          </cell>
          <cell r="G158">
            <v>8243208</v>
          </cell>
          <cell r="H158">
            <v>234748.80000000002</v>
          </cell>
          <cell r="I158">
            <v>433382.8000000001</v>
          </cell>
          <cell r="J158">
            <v>441256.87050110562</v>
          </cell>
          <cell r="K158">
            <v>630717.75209500827</v>
          </cell>
          <cell r="L158">
            <v>57905.000000000015</v>
          </cell>
          <cell r="M158">
            <v>10041219.222596115</v>
          </cell>
          <cell r="N158">
            <v>128000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874037.93450369127</v>
          </cell>
          <cell r="W158">
            <v>0</v>
          </cell>
          <cell r="X158">
            <v>0</v>
          </cell>
          <cell r="Y158">
            <v>59904</v>
          </cell>
          <cell r="Z158">
            <v>11103161.157099808</v>
          </cell>
        </row>
        <row r="159">
          <cell r="D159">
            <v>4015</v>
          </cell>
          <cell r="E159" t="str">
            <v>Mercia School</v>
          </cell>
          <cell r="F159">
            <v>786</v>
          </cell>
          <cell r="G159">
            <v>3905714</v>
          </cell>
          <cell r="H159">
            <v>70329.599999999991</v>
          </cell>
          <cell r="I159">
            <v>136644.94999999975</v>
          </cell>
          <cell r="J159">
            <v>83433.763530335971</v>
          </cell>
          <cell r="K159">
            <v>283727.38675840775</v>
          </cell>
          <cell r="L159">
            <v>20370.917197452196</v>
          </cell>
          <cell r="M159">
            <v>4500220.6174861956</v>
          </cell>
          <cell r="N159">
            <v>128000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8243</v>
          </cell>
          <cell r="Z159">
            <v>4636463.6174861956</v>
          </cell>
        </row>
        <row r="160">
          <cell r="D160">
            <v>4008</v>
          </cell>
          <cell r="E160" t="str">
            <v>Newfield Secondary School</v>
          </cell>
          <cell r="F160">
            <v>1055</v>
          </cell>
          <cell r="G160">
            <v>5296239</v>
          </cell>
          <cell r="H160">
            <v>180576.00000000015</v>
          </cell>
          <cell r="I160">
            <v>340399.55000000016</v>
          </cell>
          <cell r="J160">
            <v>338663.70184601913</v>
          </cell>
          <cell r="K160">
            <v>463502.32250119036</v>
          </cell>
          <cell r="L160">
            <v>36097.647338402981</v>
          </cell>
          <cell r="M160">
            <v>6655478.2216856126</v>
          </cell>
          <cell r="N160">
            <v>128000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840205.90783821221</v>
          </cell>
          <cell r="W160">
            <v>0</v>
          </cell>
          <cell r="X160">
            <v>0</v>
          </cell>
          <cell r="Y160">
            <v>29440</v>
          </cell>
          <cell r="Z160">
            <v>7653124.1295238249</v>
          </cell>
        </row>
        <row r="161">
          <cell r="D161">
            <v>5400</v>
          </cell>
          <cell r="E161" t="str">
            <v>Notre Dame High School</v>
          </cell>
          <cell r="F161">
            <v>1067</v>
          </cell>
          <cell r="G161">
            <v>5363995</v>
          </cell>
          <cell r="H161">
            <v>63676.800000000083</v>
          </cell>
          <cell r="I161">
            <v>134219.29999999993</v>
          </cell>
          <cell r="J161">
            <v>252861.10112936856</v>
          </cell>
          <cell r="K161">
            <v>291865.78580608353</v>
          </cell>
          <cell r="L161">
            <v>11228.611911623446</v>
          </cell>
          <cell r="M161">
            <v>6117846.5988470754</v>
          </cell>
          <cell r="N161">
            <v>128000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23142</v>
          </cell>
          <cell r="Z161">
            <v>6268988.5988470754</v>
          </cell>
        </row>
        <row r="162">
          <cell r="D162">
            <v>4006</v>
          </cell>
          <cell r="E162" t="str">
            <v>Outwood Academy City</v>
          </cell>
          <cell r="F162">
            <v>1126</v>
          </cell>
          <cell r="G162">
            <v>5654822</v>
          </cell>
          <cell r="H162">
            <v>216215.99999999974</v>
          </cell>
          <cell r="I162">
            <v>405083.54999999987</v>
          </cell>
          <cell r="J162">
            <v>480602.02778734535</v>
          </cell>
          <cell r="K162">
            <v>452481.07485284109</v>
          </cell>
          <cell r="L162">
            <v>37626.832740213547</v>
          </cell>
          <cell r="M162">
            <v>7246831.4853804</v>
          </cell>
          <cell r="N162">
            <v>128000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30464</v>
          </cell>
          <cell r="Z162">
            <v>7405295.4853804</v>
          </cell>
        </row>
        <row r="163">
          <cell r="D163">
            <v>6907</v>
          </cell>
          <cell r="E163" t="str">
            <v>Parkwood E-ACT Academy</v>
          </cell>
          <cell r="F163">
            <v>793</v>
          </cell>
          <cell r="G163">
            <v>3962313</v>
          </cell>
          <cell r="H163">
            <v>173447.99999999991</v>
          </cell>
          <cell r="I163">
            <v>337165.34999999969</v>
          </cell>
          <cell r="J163">
            <v>439293.06311201752</v>
          </cell>
          <cell r="K163">
            <v>439539.2798590145</v>
          </cell>
          <cell r="L163">
            <v>150959.37900128058</v>
          </cell>
          <cell r="M163">
            <v>5502718.0719723124</v>
          </cell>
          <cell r="N163">
            <v>128000</v>
          </cell>
          <cell r="O163">
            <v>40275.978761061917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27904</v>
          </cell>
          <cell r="Z163">
            <v>5698898.0507333744</v>
          </cell>
        </row>
        <row r="164">
          <cell r="D164">
            <v>6905</v>
          </cell>
          <cell r="E164" t="str">
            <v>Sheffield Park Academy</v>
          </cell>
          <cell r="F164">
            <v>1029</v>
          </cell>
          <cell r="G164">
            <v>5174869</v>
          </cell>
          <cell r="H164">
            <v>256132.80000000005</v>
          </cell>
          <cell r="I164">
            <v>468150.44999999984</v>
          </cell>
          <cell r="J164">
            <v>604015.87145290792</v>
          </cell>
          <cell r="K164">
            <v>530217.66524463589</v>
          </cell>
          <cell r="L164">
            <v>58244.618768328459</v>
          </cell>
          <cell r="M164">
            <v>7091630.405465873</v>
          </cell>
          <cell r="N164">
            <v>128000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32000</v>
          </cell>
          <cell r="Z164">
            <v>7251630.405465873</v>
          </cell>
        </row>
        <row r="165">
          <cell r="D165">
            <v>6906</v>
          </cell>
          <cell r="E165" t="str">
            <v>Sheffield Springs Academy</v>
          </cell>
          <cell r="F165">
            <v>981</v>
          </cell>
          <cell r="G165">
            <v>4920261</v>
          </cell>
          <cell r="H165">
            <v>262310.40000000002</v>
          </cell>
          <cell r="I165">
            <v>500492.4500000003</v>
          </cell>
          <cell r="J165">
            <v>550609.8598717188</v>
          </cell>
          <cell r="K165">
            <v>628106.40036054153</v>
          </cell>
          <cell r="L165">
            <v>104823.76575630245</v>
          </cell>
          <cell r="M165">
            <v>6966603.8759885635</v>
          </cell>
          <cell r="N165">
            <v>128000</v>
          </cell>
          <cell r="O165">
            <v>45969.619712525666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28672</v>
          </cell>
          <cell r="Z165">
            <v>7169245.4957010895</v>
          </cell>
        </row>
        <row r="166">
          <cell r="D166">
            <v>4229</v>
          </cell>
          <cell r="E166" t="str">
            <v>Silverdale School</v>
          </cell>
          <cell r="F166">
            <v>1021</v>
          </cell>
          <cell r="G166">
            <v>5171853</v>
          </cell>
          <cell r="H166">
            <v>54648.000000000182</v>
          </cell>
          <cell r="I166">
            <v>108345.70000000022</v>
          </cell>
          <cell r="J166">
            <v>95683.89221803096</v>
          </cell>
          <cell r="K166">
            <v>252379.14896856045</v>
          </cell>
          <cell r="L166">
            <v>27438.085858585902</v>
          </cell>
          <cell r="M166">
            <v>5710347.827045178</v>
          </cell>
          <cell r="N166">
            <v>128000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977.8764769927983</v>
          </cell>
          <cell r="U166">
            <v>977.8764769927983</v>
          </cell>
          <cell r="V166">
            <v>1260308.8617573183</v>
          </cell>
          <cell r="W166">
            <v>0</v>
          </cell>
          <cell r="X166">
            <v>0</v>
          </cell>
          <cell r="Y166">
            <v>37888</v>
          </cell>
          <cell r="Z166">
            <v>7137522.5652794866</v>
          </cell>
        </row>
        <row r="167">
          <cell r="D167">
            <v>4271</v>
          </cell>
          <cell r="E167" t="str">
            <v>Stocksbridge High School</v>
          </cell>
          <cell r="F167">
            <v>793</v>
          </cell>
          <cell r="G167">
            <v>3998793</v>
          </cell>
          <cell r="H167">
            <v>105969.60000000018</v>
          </cell>
          <cell r="I167">
            <v>204563.14999999982</v>
          </cell>
          <cell r="J167">
            <v>164827.94161146783</v>
          </cell>
          <cell r="K167">
            <v>225185.4391498671</v>
          </cell>
          <cell r="L167">
            <v>4694.9999999999982</v>
          </cell>
          <cell r="M167">
            <v>4704034.1307613347</v>
          </cell>
          <cell r="N167">
            <v>128000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22118</v>
          </cell>
          <cell r="Z167">
            <v>4854152.1307613347</v>
          </cell>
        </row>
        <row r="168">
          <cell r="D168">
            <v>4234</v>
          </cell>
          <cell r="E168" t="str">
            <v>Tapton School</v>
          </cell>
          <cell r="F168">
            <v>1357</v>
          </cell>
          <cell r="G168">
            <v>6828253</v>
          </cell>
          <cell r="H168">
            <v>98841.599999999817</v>
          </cell>
          <cell r="I168">
            <v>184349.39999999988</v>
          </cell>
          <cell r="J168">
            <v>115349.81300752996</v>
          </cell>
          <cell r="K168">
            <v>349083.80619624717</v>
          </cell>
          <cell r="L168">
            <v>62924.592592592526</v>
          </cell>
          <cell r="M168">
            <v>7638802.2117963685</v>
          </cell>
          <cell r="N168">
            <v>128000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683619.05207370815</v>
          </cell>
          <cell r="W168">
            <v>0</v>
          </cell>
          <cell r="X168">
            <v>0</v>
          </cell>
          <cell r="Y168">
            <v>46336</v>
          </cell>
          <cell r="Z168">
            <v>8496757.2638700753</v>
          </cell>
        </row>
        <row r="169">
          <cell r="D169">
            <v>4276</v>
          </cell>
          <cell r="E169" t="str">
            <v>The Birley Academy</v>
          </cell>
          <cell r="F169">
            <v>1076</v>
          </cell>
          <cell r="G169">
            <v>5396116</v>
          </cell>
          <cell r="H169">
            <v>168696.00000000012</v>
          </cell>
          <cell r="I169">
            <v>309674.65000000043</v>
          </cell>
          <cell r="J169">
            <v>273716.57261403755</v>
          </cell>
          <cell r="K169">
            <v>518848.78258943278</v>
          </cell>
          <cell r="L169">
            <v>31299.999999999938</v>
          </cell>
          <cell r="M169">
            <v>6698352.0052034706</v>
          </cell>
          <cell r="N169">
            <v>128000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37150</v>
          </cell>
          <cell r="Z169">
            <v>6863502.0052034706</v>
          </cell>
        </row>
        <row r="170">
          <cell r="D170">
            <v>4004</v>
          </cell>
          <cell r="E170" t="str">
            <v>UTC Sheffield City Centre</v>
          </cell>
          <cell r="F170">
            <v>312</v>
          </cell>
          <cell r="G170">
            <v>1619384</v>
          </cell>
          <cell r="H170">
            <v>32788.799999999981</v>
          </cell>
          <cell r="I170">
            <v>67918.199999999953</v>
          </cell>
          <cell r="J170">
            <v>88841.818968844556</v>
          </cell>
          <cell r="K170">
            <v>88217.939616985212</v>
          </cell>
          <cell r="L170">
            <v>3475.3024911032035</v>
          </cell>
          <cell r="M170">
            <v>1900626.0610769331</v>
          </cell>
          <cell r="N170">
            <v>128000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28442</v>
          </cell>
          <cell r="Z170">
            <v>2057068.0610769331</v>
          </cell>
        </row>
        <row r="171">
          <cell r="D171">
            <v>4010</v>
          </cell>
          <cell r="E171" t="str">
            <v>UTC Sheffield Olympic Legacy Park</v>
          </cell>
          <cell r="F171">
            <v>301</v>
          </cell>
          <cell r="G171">
            <v>1562493</v>
          </cell>
          <cell r="H171">
            <v>38016</v>
          </cell>
          <cell r="I171">
            <v>71152.400000000023</v>
          </cell>
          <cell r="J171">
            <v>98441.622011896339</v>
          </cell>
          <cell r="K171">
            <v>105874.13188817316</v>
          </cell>
          <cell r="L171">
            <v>4806.7857142857329</v>
          </cell>
          <cell r="M171">
            <v>1880783.9396143549</v>
          </cell>
          <cell r="N171">
            <v>128000</v>
          </cell>
          <cell r="O171">
            <v>1364.5333333333197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27392</v>
          </cell>
          <cell r="Z171">
            <v>2037540.4729476881</v>
          </cell>
        </row>
        <row r="172">
          <cell r="D172">
            <v>4013</v>
          </cell>
          <cell r="E172" t="str">
            <v>Westfield School</v>
          </cell>
          <cell r="F172">
            <v>1245</v>
          </cell>
          <cell r="G172">
            <v>6246125</v>
          </cell>
          <cell r="H172">
            <v>140659.19999999984</v>
          </cell>
          <cell r="I172">
            <v>271672.79999999981</v>
          </cell>
          <cell r="J172">
            <v>210186.63986944174</v>
          </cell>
          <cell r="K172">
            <v>510564.9937728665</v>
          </cell>
          <cell r="L172">
            <v>3137.5603864734398</v>
          </cell>
          <cell r="M172">
            <v>7382346.1940287817</v>
          </cell>
          <cell r="N172">
            <v>128000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663522.70027871686</v>
          </cell>
          <cell r="W172">
            <v>0</v>
          </cell>
          <cell r="X172">
            <v>0</v>
          </cell>
          <cell r="Y172">
            <v>55808</v>
          </cell>
          <cell r="Z172">
            <v>8229676.8943074979</v>
          </cell>
        </row>
        <row r="173">
          <cell r="D173">
            <v>4016</v>
          </cell>
          <cell r="E173" t="str">
            <v>Yewlands Academy</v>
          </cell>
          <cell r="F173">
            <v>901</v>
          </cell>
          <cell r="G173">
            <v>4507669</v>
          </cell>
          <cell r="H173">
            <v>168696.00000000017</v>
          </cell>
          <cell r="I173">
            <v>311291.74999999983</v>
          </cell>
          <cell r="J173">
            <v>393114.32534353877</v>
          </cell>
          <cell r="K173">
            <v>410887.14111178787</v>
          </cell>
          <cell r="L173">
            <v>15649.999999999962</v>
          </cell>
          <cell r="M173">
            <v>5807308.2164553273</v>
          </cell>
          <cell r="N173">
            <v>128000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25948</v>
          </cell>
          <cell r="Z173">
            <v>5961256.2164553273</v>
          </cell>
        </row>
        <row r="174">
          <cell r="D174">
            <v>0</v>
          </cell>
          <cell r="E174">
            <v>0</v>
          </cell>
        </row>
        <row r="175">
          <cell r="D175">
            <v>0</v>
          </cell>
          <cell r="E175" t="str">
            <v>Total Secondary</v>
          </cell>
          <cell r="F175">
            <v>27959</v>
          </cell>
          <cell r="G175">
            <v>140522279</v>
          </cell>
          <cell r="H175">
            <v>4034448.0000000005</v>
          </cell>
          <cell r="I175">
            <v>7610881.1500000004</v>
          </cell>
          <cell r="J175">
            <v>8134318.3820381192</v>
          </cell>
          <cell r="K175">
            <v>11215101.06784364</v>
          </cell>
          <cell r="L175">
            <v>1394963.3523071278</v>
          </cell>
          <cell r="M175">
            <v>172911990.95218891</v>
          </cell>
          <cell r="N175">
            <v>3456000</v>
          </cell>
          <cell r="O175">
            <v>181289.1141943965</v>
          </cell>
          <cell r="P175">
            <v>264821.95099317626</v>
          </cell>
          <cell r="Q175">
            <v>264821.95099317626</v>
          </cell>
          <cell r="R175">
            <v>0</v>
          </cell>
          <cell r="S175">
            <v>0</v>
          </cell>
          <cell r="T175">
            <v>1194.5121813249443</v>
          </cell>
          <cell r="U175">
            <v>1194.5121813249443</v>
          </cell>
          <cell r="V175">
            <v>7660977.5393150337</v>
          </cell>
          <cell r="W175">
            <v>385954.32764288998</v>
          </cell>
          <cell r="X175">
            <v>0</v>
          </cell>
          <cell r="Y175">
            <v>1106374</v>
          </cell>
          <cell r="Z175">
            <v>185968602.3965157</v>
          </cell>
        </row>
        <row r="176">
          <cell r="D176">
            <v>0</v>
          </cell>
          <cell r="E176">
            <v>0</v>
          </cell>
          <cell r="Q176">
            <v>1</v>
          </cell>
          <cell r="S176">
            <v>0</v>
          </cell>
          <cell r="U176">
            <v>2</v>
          </cell>
        </row>
        <row r="177">
          <cell r="E177" t="str">
            <v>Middle Deemed Secondary</v>
          </cell>
          <cell r="S177">
            <v>0</v>
          </cell>
          <cell r="U177">
            <v>44.241191900923866</v>
          </cell>
        </row>
        <row r="178">
          <cell r="R178">
            <v>4950.833333333333</v>
          </cell>
        </row>
        <row r="179">
          <cell r="D179">
            <v>4014</v>
          </cell>
          <cell r="E179" t="str">
            <v>Astrea Academy Sheffield</v>
          </cell>
          <cell r="F179">
            <v>979</v>
          </cell>
          <cell r="G179">
            <v>4543205.0647669341</v>
          </cell>
          <cell r="H179">
            <v>230974.19999999984</v>
          </cell>
          <cell r="I179">
            <v>414801.36475961527</v>
          </cell>
          <cell r="J179">
            <v>470882.827317763</v>
          </cell>
          <cell r="K179">
            <v>462739.90872898197</v>
          </cell>
          <cell r="L179">
            <v>153027.9711720825</v>
          </cell>
          <cell r="M179">
            <v>6275631.3367453758</v>
          </cell>
          <cell r="N179">
            <v>128000</v>
          </cell>
          <cell r="O179">
            <v>37529.761260713094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7424</v>
          </cell>
          <cell r="Z179">
            <v>6448585.0980060901</v>
          </cell>
        </row>
        <row r="180">
          <cell r="D180">
            <v>4225</v>
          </cell>
          <cell r="E180" t="str">
            <v>Hinde House 2-16 School</v>
          </cell>
          <cell r="F180">
            <v>1322</v>
          </cell>
          <cell r="G180">
            <v>5969396.9347215854</v>
          </cell>
          <cell r="H180">
            <v>273364.80000000028</v>
          </cell>
          <cell r="I180">
            <v>488723.66</v>
          </cell>
          <cell r="J180">
            <v>620867.21221276745</v>
          </cell>
          <cell r="K180">
            <v>667669.0673839727</v>
          </cell>
          <cell r="L180">
            <v>114090.68245125358</v>
          </cell>
          <cell r="M180">
            <v>8134112.3567695804</v>
          </cell>
          <cell r="N180">
            <v>128000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927143.94665864506</v>
          </cell>
          <cell r="W180">
            <v>194865.87629175332</v>
          </cell>
          <cell r="X180">
            <v>0</v>
          </cell>
          <cell r="Y180">
            <v>43723</v>
          </cell>
          <cell r="Z180">
            <v>9427845.1797199771</v>
          </cell>
        </row>
        <row r="181">
          <cell r="D181">
            <v>4005</v>
          </cell>
          <cell r="E181" t="str">
            <v>Oasis Academy Don Valley</v>
          </cell>
          <cell r="F181">
            <v>1061</v>
          </cell>
          <cell r="G181">
            <v>4676050.5918251462</v>
          </cell>
          <cell r="H181">
            <v>224855.99999999988</v>
          </cell>
          <cell r="I181">
            <v>399235.94999999966</v>
          </cell>
          <cell r="J181">
            <v>552200.15252493194</v>
          </cell>
          <cell r="K181">
            <v>396623.36653878458</v>
          </cell>
          <cell r="L181">
            <v>96581.02909000167</v>
          </cell>
          <cell r="M181">
            <v>6345547.0899788635</v>
          </cell>
          <cell r="N181">
            <v>128000</v>
          </cell>
          <cell r="O181">
            <v>4590.8869565217155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50000</v>
          </cell>
          <cell r="X181">
            <v>0</v>
          </cell>
          <cell r="Y181">
            <v>29952</v>
          </cell>
          <cell r="Z181">
            <v>6558089.9769353857</v>
          </cell>
        </row>
        <row r="183">
          <cell r="E183" t="str">
            <v>Total Middle Deemed Secondary</v>
          </cell>
          <cell r="F183">
            <v>3362</v>
          </cell>
          <cell r="G183">
            <v>15188652.591313666</v>
          </cell>
          <cell r="H183">
            <v>729195</v>
          </cell>
          <cell r="I183">
            <v>1302760.974759615</v>
          </cell>
          <cell r="J183">
            <v>1643950.1920554624</v>
          </cell>
          <cell r="K183">
            <v>1527032.3426517393</v>
          </cell>
          <cell r="L183">
            <v>363699.68271333777</v>
          </cell>
          <cell r="M183">
            <v>20755290.783493821</v>
          </cell>
          <cell r="N183">
            <v>384000</v>
          </cell>
          <cell r="O183">
            <v>42120.648217234811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927143.94665864506</v>
          </cell>
          <cell r="W183">
            <v>244865.87629175332</v>
          </cell>
          <cell r="X183">
            <v>0</v>
          </cell>
          <cell r="Y183">
            <v>81099</v>
          </cell>
          <cell r="Z183">
            <v>22434520.254661459</v>
          </cell>
        </row>
        <row r="184">
          <cell r="E184">
            <v>0</v>
          </cell>
        </row>
        <row r="185">
          <cell r="E185" t="str">
            <v>Total All Schools</v>
          </cell>
          <cell r="F185">
            <v>74732</v>
          </cell>
          <cell r="G185">
            <v>306037519.48677599</v>
          </cell>
          <cell r="H185">
            <v>10413377.399999999</v>
          </cell>
          <cell r="I185">
            <v>17808668.414759614</v>
          </cell>
          <cell r="J185">
            <v>19932856.379948657</v>
          </cell>
          <cell r="K185">
            <v>28076308.884312123</v>
          </cell>
          <cell r="L185">
            <v>5304808.8012365773</v>
          </cell>
          <cell r="M185">
            <v>387573539.36703306</v>
          </cell>
          <cell r="N185">
            <v>20864000</v>
          </cell>
          <cell r="O185">
            <v>776629.68718147371</v>
          </cell>
          <cell r="P185">
            <v>2452722.1220174804</v>
          </cell>
          <cell r="Q185">
            <v>2452722.1220174804</v>
          </cell>
          <cell r="R185">
            <v>0</v>
          </cell>
          <cell r="S185">
            <v>0</v>
          </cell>
          <cell r="T185">
            <v>783574.07327317551</v>
          </cell>
          <cell r="U185">
            <v>783574.07327317551</v>
          </cell>
          <cell r="V185">
            <v>9171817.1392130014</v>
          </cell>
          <cell r="W185">
            <v>730522.79619495641</v>
          </cell>
          <cell r="X185">
            <v>11570.815086782359</v>
          </cell>
          <cell r="Y185">
            <v>3091175</v>
          </cell>
          <cell r="Z185">
            <v>425455551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U186">
            <v>783574.07327317551</v>
          </cell>
          <cell r="V186" t="str">
            <v>MFG Ok</v>
          </cell>
          <cell r="W186">
            <v>0</v>
          </cell>
          <cell r="Y186">
            <v>0</v>
          </cell>
          <cell r="Z186">
            <v>0</v>
          </cell>
        </row>
        <row r="187">
          <cell r="G187">
            <v>0.71931725597999308</v>
          </cell>
          <cell r="H187">
            <v>6.6333711590848679E-2</v>
          </cell>
          <cell r="J187">
            <v>4.6850620077933024E-2</v>
          </cell>
          <cell r="K187">
            <v>38110999.589999996</v>
          </cell>
          <cell r="L187">
            <v>22335636.196006205</v>
          </cell>
          <cell r="M187">
            <v>15775363.393993789</v>
          </cell>
          <cell r="N187">
            <v>0.91096129420822403</v>
          </cell>
          <cell r="O187" t="str">
            <v>pupil led funding</v>
          </cell>
          <cell r="U187">
            <v>-1.9790604710578918E-9</v>
          </cell>
          <cell r="V187">
            <v>0</v>
          </cell>
        </row>
        <row r="188">
          <cell r="K188">
            <v>0.58606797082978868</v>
          </cell>
          <cell r="L188">
            <v>0.41393202917021132</v>
          </cell>
          <cell r="V188" t="str">
            <v>PFI Ok</v>
          </cell>
        </row>
        <row r="189">
          <cell r="D189">
            <v>4014</v>
          </cell>
          <cell r="E189" t="str">
            <v>Astrea 3-16 Academy - Pri</v>
          </cell>
          <cell r="F189">
            <v>243</v>
          </cell>
          <cell r="G189">
            <v>841477.06476693368</v>
          </cell>
          <cell r="H189">
            <v>41844.6</v>
          </cell>
          <cell r="I189">
            <v>65507.764759615442</v>
          </cell>
          <cell r="J189">
            <v>85531.542673670105</v>
          </cell>
          <cell r="K189">
            <v>128898.52606275302</v>
          </cell>
          <cell r="L189">
            <v>64917.818181818235</v>
          </cell>
          <cell r="M189">
            <v>1228177.3164447905</v>
          </cell>
          <cell r="N189">
            <v>31771.195097037791</v>
          </cell>
          <cell r="O189">
            <v>37006.563461538426</v>
          </cell>
          <cell r="P189">
            <v>0</v>
          </cell>
          <cell r="Q189">
            <v>0</v>
          </cell>
          <cell r="S189">
            <v>0</v>
          </cell>
          <cell r="U189">
            <v>0</v>
          </cell>
          <cell r="X189">
            <v>0</v>
          </cell>
          <cell r="Y189">
            <v>1842.7293156281921</v>
          </cell>
          <cell r="Z189">
            <v>1298797.8043189947</v>
          </cell>
        </row>
        <row r="190">
          <cell r="D190">
            <v>4014</v>
          </cell>
          <cell r="E190" t="str">
            <v>Astrea 3-16 Academy - Sec</v>
          </cell>
          <cell r="F190">
            <v>736</v>
          </cell>
          <cell r="G190">
            <v>3701728</v>
          </cell>
          <cell r="H190">
            <v>189129.59999999983</v>
          </cell>
          <cell r="I190">
            <v>349293.5999999998</v>
          </cell>
          <cell r="J190">
            <v>385351.2846440929</v>
          </cell>
          <cell r="K190">
            <v>333841.38266622892</v>
          </cell>
          <cell r="L190">
            <v>88110.152990264265</v>
          </cell>
          <cell r="M190">
            <v>5047454.0203005858</v>
          </cell>
          <cell r="N190">
            <v>96228.804902962205</v>
          </cell>
          <cell r="O190">
            <v>523.19779917466735</v>
          </cell>
          <cell r="P190">
            <v>0</v>
          </cell>
          <cell r="Q190">
            <v>0</v>
          </cell>
          <cell r="S190">
            <v>0</v>
          </cell>
          <cell r="U190">
            <v>0</v>
          </cell>
          <cell r="X190">
            <v>0</v>
          </cell>
          <cell r="Y190">
            <v>5581.2706843718079</v>
          </cell>
          <cell r="Z190">
            <v>5149787.293687094</v>
          </cell>
        </row>
        <row r="191">
          <cell r="F191">
            <v>979</v>
          </cell>
          <cell r="G191">
            <v>4543205.0647669341</v>
          </cell>
          <cell r="H191">
            <v>230974.19999999984</v>
          </cell>
          <cell r="I191">
            <v>414801.36475961527</v>
          </cell>
          <cell r="J191">
            <v>470882.827317763</v>
          </cell>
          <cell r="K191">
            <v>462739.90872898197</v>
          </cell>
          <cell r="L191">
            <v>153027.9711720825</v>
          </cell>
          <cell r="M191">
            <v>6275631.3367453758</v>
          </cell>
          <cell r="N191">
            <v>128000</v>
          </cell>
          <cell r="O191">
            <v>37529.761260713094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7424</v>
          </cell>
          <cell r="Z191">
            <v>6448585.0980060901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D193">
            <v>4225</v>
          </cell>
          <cell r="E193" t="str">
            <v>Hinde House 3-16 - Pri</v>
          </cell>
          <cell r="F193">
            <v>419</v>
          </cell>
          <cell r="G193">
            <v>1450941.9347215851</v>
          </cell>
          <cell r="H193">
            <v>70454.400000000067</v>
          </cell>
          <cell r="I193">
            <v>112747.90999999987</v>
          </cell>
          <cell r="J193">
            <v>184686.09390984531</v>
          </cell>
          <cell r="K193">
            <v>166919.0547189503</v>
          </cell>
          <cell r="L193">
            <v>56185.682451253546</v>
          </cell>
          <cell r="M193">
            <v>2041935.0758016342</v>
          </cell>
          <cell r="N193">
            <v>40568.835098335854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U193">
            <v>0</v>
          </cell>
          <cell r="V193">
            <v>223306.03326649187</v>
          </cell>
          <cell r="W193">
            <v>61761.575012287925</v>
          </cell>
          <cell r="Y193">
            <v>8294</v>
          </cell>
          <cell r="Z193">
            <v>2375865.51917875</v>
          </cell>
        </row>
        <row r="194">
          <cell r="D194">
            <v>4225</v>
          </cell>
          <cell r="E194" t="str">
            <v>Hinde House 3-16 Sec</v>
          </cell>
          <cell r="F194">
            <v>903</v>
          </cell>
          <cell r="G194">
            <v>4518455</v>
          </cell>
          <cell r="H194">
            <v>202910.4000000002</v>
          </cell>
          <cell r="I194">
            <v>375975.75000000012</v>
          </cell>
          <cell r="J194">
            <v>436181.11830292211</v>
          </cell>
          <cell r="K194">
            <v>500750.01266502246</v>
          </cell>
          <cell r="L194">
            <v>57905.000000000044</v>
          </cell>
          <cell r="M194">
            <v>6092177.2809679443</v>
          </cell>
          <cell r="N194">
            <v>87431.164901664146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U194">
            <v>0</v>
          </cell>
          <cell r="V194">
            <v>703837.91339215322</v>
          </cell>
          <cell r="W194">
            <v>133104.30127946541</v>
          </cell>
          <cell r="Y194">
            <v>35429</v>
          </cell>
          <cell r="Z194">
            <v>7051979.6605412262</v>
          </cell>
        </row>
        <row r="195">
          <cell r="F195">
            <v>1322</v>
          </cell>
          <cell r="G195">
            <v>5969396.9347215854</v>
          </cell>
          <cell r="H195">
            <v>273364.80000000028</v>
          </cell>
          <cell r="I195">
            <v>488723.66</v>
          </cell>
          <cell r="J195">
            <v>620867.21221276745</v>
          </cell>
          <cell r="K195">
            <v>667669.0673839727</v>
          </cell>
          <cell r="L195">
            <v>114090.68245125358</v>
          </cell>
          <cell r="M195">
            <v>8134112.3567695804</v>
          </cell>
          <cell r="N195">
            <v>128000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U195">
            <v>0</v>
          </cell>
          <cell r="V195">
            <v>927143.94665864506</v>
          </cell>
          <cell r="W195">
            <v>194865.87629175332</v>
          </cell>
          <cell r="X195">
            <v>0</v>
          </cell>
          <cell r="Y195">
            <v>43723</v>
          </cell>
          <cell r="Z195">
            <v>9427845.1797199771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D197">
            <v>4005</v>
          </cell>
          <cell r="E197" t="str">
            <v>Oasis Academy Don Valley</v>
          </cell>
          <cell r="F197">
            <v>414</v>
          </cell>
          <cell r="G197">
            <v>1433627.5918251462</v>
          </cell>
          <cell r="H197">
            <v>63763.199999999997</v>
          </cell>
          <cell r="I197">
            <v>102498.09999999987</v>
          </cell>
          <cell r="J197">
            <v>180150.32927430948</v>
          </cell>
          <cell r="K197">
            <v>101217.53665689148</v>
          </cell>
          <cell r="L197">
            <v>50913.696275071699</v>
          </cell>
          <cell r="M197">
            <v>1932170.4540314188</v>
          </cell>
          <cell r="N197">
            <v>49945.334590009428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U197">
            <v>0</v>
          </cell>
          <cell r="W197">
            <v>15847.201210287443</v>
          </cell>
          <cell r="X197">
            <v>0</v>
          </cell>
          <cell r="Y197">
            <v>11687.208294062206</v>
          </cell>
          <cell r="Z197">
            <v>2009650.198125778</v>
          </cell>
        </row>
        <row r="198">
          <cell r="D198">
            <v>4005</v>
          </cell>
          <cell r="E198" t="str">
            <v>Oasis Academy Don Valley</v>
          </cell>
          <cell r="F198">
            <v>647</v>
          </cell>
          <cell r="G198">
            <v>3242423</v>
          </cell>
          <cell r="H198">
            <v>161092.7999999999</v>
          </cell>
          <cell r="I198">
            <v>296737.8499999998</v>
          </cell>
          <cell r="J198">
            <v>372049.82325062249</v>
          </cell>
          <cell r="K198">
            <v>295405.82988189312</v>
          </cell>
          <cell r="L198">
            <v>45667.33281492997</v>
          </cell>
          <cell r="M198">
            <v>4413376.6359474454</v>
          </cell>
          <cell r="N198">
            <v>78054.665409990572</v>
          </cell>
          <cell r="O198">
            <v>4590.8869565217155</v>
          </cell>
          <cell r="P198">
            <v>0</v>
          </cell>
          <cell r="Q198">
            <v>0</v>
          </cell>
          <cell r="S198">
            <v>0</v>
          </cell>
          <cell r="U198">
            <v>0</v>
          </cell>
          <cell r="W198">
            <v>34152.798789712557</v>
          </cell>
          <cell r="X198">
            <v>0</v>
          </cell>
          <cell r="Y198">
            <v>18264.791705937794</v>
          </cell>
          <cell r="Z198">
            <v>4548439.778809607</v>
          </cell>
        </row>
        <row r="199">
          <cell r="F199">
            <v>1061</v>
          </cell>
          <cell r="G199">
            <v>4676050.5918251462</v>
          </cell>
          <cell r="H199">
            <v>224855.99999999988</v>
          </cell>
          <cell r="I199">
            <v>399235.94999999966</v>
          </cell>
          <cell r="J199">
            <v>552200.15252493194</v>
          </cell>
          <cell r="K199">
            <v>396623.36653878458</v>
          </cell>
          <cell r="L199">
            <v>96581.02909000167</v>
          </cell>
          <cell r="M199">
            <v>6345547.0899788635</v>
          </cell>
          <cell r="N199">
            <v>128000</v>
          </cell>
          <cell r="O199">
            <v>4590.8869565217155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50000</v>
          </cell>
          <cell r="X199">
            <v>0</v>
          </cell>
          <cell r="Y199">
            <v>29952</v>
          </cell>
          <cell r="Z199">
            <v>6558089.9769353857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2">
          <cell r="F202" t="str">
            <v>AWPU Fund</v>
          </cell>
          <cell r="K202" t="str">
            <v>2022-23</v>
          </cell>
          <cell r="L202" t="str">
            <v>NOR</v>
          </cell>
          <cell r="R202" t="str">
            <v>Min</v>
          </cell>
          <cell r="S202" t="e">
            <v>#NUM!</v>
          </cell>
          <cell r="U202">
            <v>1137.0857142861439</v>
          </cell>
          <cell r="X202" t="str">
            <v>Pri</v>
          </cell>
          <cell r="Z202">
            <v>217052428.3488228</v>
          </cell>
        </row>
        <row r="203">
          <cell r="F203">
            <v>154052634.48677602</v>
          </cell>
          <cell r="G203">
            <v>154052634.48677605</v>
          </cell>
          <cell r="H203">
            <v>0</v>
          </cell>
          <cell r="I203">
            <v>0</v>
          </cell>
          <cell r="J203">
            <v>0.59528715944976718</v>
          </cell>
          <cell r="K203" t="str">
            <v>Primary</v>
          </cell>
          <cell r="L203">
            <v>44487</v>
          </cell>
          <cell r="R203" t="str">
            <v>Max</v>
          </cell>
          <cell r="S203">
            <v>0</v>
          </cell>
          <cell r="T203" t="e">
            <v>#REF!</v>
          </cell>
          <cell r="U203">
            <v>93791.116431599803</v>
          </cell>
          <cell r="X203" t="str">
            <v>Pri 3-16</v>
          </cell>
          <cell r="Z203">
            <v>5684313.521623523</v>
          </cell>
        </row>
        <row r="204">
          <cell r="F204">
            <v>151984885</v>
          </cell>
          <cell r="G204">
            <v>151984885</v>
          </cell>
          <cell r="H204">
            <v>0</v>
          </cell>
          <cell r="I204">
            <v>0</v>
          </cell>
          <cell r="J204">
            <v>0.40471284055023282</v>
          </cell>
          <cell r="K204" t="str">
            <v>Secondary</v>
          </cell>
          <cell r="L204">
            <v>30245</v>
          </cell>
          <cell r="R204" t="str">
            <v>Min</v>
          </cell>
          <cell r="S204" t="e">
            <v>#NUM!</v>
          </cell>
          <cell r="U204">
            <v>216.63570433214602</v>
          </cell>
          <cell r="Z204">
            <v>222736741.87044632</v>
          </cell>
        </row>
        <row r="205">
          <cell r="F205">
            <v>306037519.48677599</v>
          </cell>
          <cell r="G205">
            <v>306037519.48677605</v>
          </cell>
          <cell r="H205">
            <v>0</v>
          </cell>
          <cell r="L205">
            <v>74732</v>
          </cell>
          <cell r="M205">
            <v>0</v>
          </cell>
          <cell r="R205" t="str">
            <v>Max</v>
          </cell>
          <cell r="S205">
            <v>0</v>
          </cell>
          <cell r="U205">
            <v>977.8764769927983</v>
          </cell>
        </row>
        <row r="206">
          <cell r="G206">
            <v>0</v>
          </cell>
          <cell r="H206">
            <v>0</v>
          </cell>
          <cell r="K206" t="str">
            <v>2021-22</v>
          </cell>
          <cell r="X206" t="str">
            <v>Sec</v>
          </cell>
          <cell r="Z206">
            <v>185968602.3965157</v>
          </cell>
        </row>
        <row r="207">
          <cell r="J207">
            <v>0.59528715944976718</v>
          </cell>
          <cell r="K207" t="str">
            <v>Primary</v>
          </cell>
          <cell r="L207">
            <v>44487</v>
          </cell>
          <cell r="S207" t="e">
            <v>#NUM!</v>
          </cell>
          <cell r="X207" t="str">
            <v>Sec 3-16</v>
          </cell>
          <cell r="Z207">
            <v>16750206.733037926</v>
          </cell>
        </row>
        <row r="208">
          <cell r="J208">
            <v>0.40471284055023282</v>
          </cell>
          <cell r="K208" t="str">
            <v>Secondary</v>
          </cell>
          <cell r="L208">
            <v>30245</v>
          </cell>
          <cell r="Z208">
            <v>202718809.12955362</v>
          </cell>
        </row>
        <row r="209">
          <cell r="L209">
            <v>74732</v>
          </cell>
        </row>
        <row r="210">
          <cell r="X210" t="str">
            <v>Total</v>
          </cell>
          <cell r="Z210">
            <v>425455550.99999994</v>
          </cell>
        </row>
        <row r="211">
          <cell r="Z211">
            <v>0</v>
          </cell>
        </row>
        <row r="212">
          <cell r="M212">
            <v>0.91672622574161822</v>
          </cell>
        </row>
        <row r="213">
          <cell r="E213" t="str">
            <v>2023-24</v>
          </cell>
          <cell r="F213">
            <v>74732</v>
          </cell>
          <cell r="G213">
            <v>306037519.48677599</v>
          </cell>
          <cell r="H213">
            <v>10413377.399999999</v>
          </cell>
          <cell r="I213">
            <v>17808668.414759614</v>
          </cell>
          <cell r="J213">
            <v>19932856.379948657</v>
          </cell>
          <cell r="K213">
            <v>28076308.884312123</v>
          </cell>
          <cell r="L213">
            <v>5304808.8012365773</v>
          </cell>
          <cell r="M213">
            <v>387573539.36703306</v>
          </cell>
          <cell r="N213">
            <v>20864000</v>
          </cell>
          <cell r="O213">
            <v>776629.68718147371</v>
          </cell>
          <cell r="Q213">
            <v>2452722.1220174804</v>
          </cell>
          <cell r="S213">
            <v>0</v>
          </cell>
          <cell r="U213">
            <v>783574.07327317551</v>
          </cell>
          <cell r="V213">
            <v>9171817.1392130014</v>
          </cell>
          <cell r="W213">
            <v>730522.79619495641</v>
          </cell>
          <cell r="X213">
            <v>11570.815086782359</v>
          </cell>
          <cell r="Y213">
            <v>3091175</v>
          </cell>
          <cell r="Z213">
            <v>425455551</v>
          </cell>
        </row>
        <row r="214">
          <cell r="E214" t="str">
            <v>2022-23</v>
          </cell>
          <cell r="F214">
            <v>73809.25</v>
          </cell>
          <cell r="G214">
            <v>291938500.51237082</v>
          </cell>
          <cell r="H214">
            <v>9328405.5756494924</v>
          </cell>
          <cell r="I214">
            <v>11667068.093314715</v>
          </cell>
          <cell r="J214">
            <v>16909986.248684809</v>
          </cell>
          <cell r="K214">
            <v>26641854.377078548</v>
          </cell>
          <cell r="L214">
            <v>4501844.7096444163</v>
          </cell>
          <cell r="M214">
            <v>360987659.51674283</v>
          </cell>
          <cell r="N214">
            <v>19771900</v>
          </cell>
          <cell r="O214">
            <v>574069.77533013886</v>
          </cell>
          <cell r="Q214">
            <v>3102099.1906450111</v>
          </cell>
          <cell r="S214">
            <v>0</v>
          </cell>
          <cell r="U214">
            <v>673677.85486865521</v>
          </cell>
          <cell r="V214">
            <v>6835940.6748385346</v>
          </cell>
          <cell r="W214">
            <v>685338.06641122501</v>
          </cell>
          <cell r="X214">
            <v>20578.371161548726</v>
          </cell>
          <cell r="Y214">
            <v>3225162.55</v>
          </cell>
          <cell r="Z214">
            <v>395876425.99999791</v>
          </cell>
        </row>
        <row r="215">
          <cell r="E215" t="str">
            <v>£ Var</v>
          </cell>
          <cell r="F215">
            <v>922.75</v>
          </cell>
          <cell r="G215">
            <v>14099018.974405169</v>
          </cell>
          <cell r="H215">
            <v>1084971.8243505061</v>
          </cell>
          <cell r="I215">
            <v>6141600.3214448988</v>
          </cell>
          <cell r="J215">
            <v>3022870.1312638484</v>
          </cell>
          <cell r="K215">
            <v>1434454.507233575</v>
          </cell>
          <cell r="L215">
            <v>802964.09159216098</v>
          </cell>
          <cell r="M215">
            <v>26585879.850290239</v>
          </cell>
          <cell r="N215">
            <v>1092100</v>
          </cell>
          <cell r="O215">
            <v>202559.91185133485</v>
          </cell>
          <cell r="Q215">
            <v>-649377.06862753071</v>
          </cell>
          <cell r="S215">
            <v>0</v>
          </cell>
          <cell r="U215">
            <v>109896.2184045203</v>
          </cell>
          <cell r="V215">
            <v>2335876.4643744668</v>
          </cell>
          <cell r="W215">
            <v>45184.729783731396</v>
          </cell>
          <cell r="X215">
            <v>-9007.5560747663676</v>
          </cell>
          <cell r="Y215">
            <v>-133987.54999999981</v>
          </cell>
          <cell r="Z215">
            <v>29579125.000002086</v>
          </cell>
        </row>
        <row r="216">
          <cell r="E216" t="str">
            <v>% Var</v>
          </cell>
          <cell r="F216">
            <v>1.2501820571269862E-2</v>
          </cell>
          <cell r="G216">
            <v>4.8294483083459308E-2</v>
          </cell>
          <cell r="H216">
            <v>0.11630838899014793</v>
          </cell>
          <cell r="I216">
            <v>0.52640477216071657</v>
          </cell>
          <cell r="J216">
            <v>0.17876242397884595</v>
          </cell>
          <cell r="K216">
            <v>5.3842142027009765E-2</v>
          </cell>
          <cell r="L216">
            <v>0.17836334733447171</v>
          </cell>
          <cell r="M216">
            <v>7.364761412033026E-2</v>
          </cell>
          <cell r="N216">
            <v>5.5234954657873044E-2</v>
          </cell>
          <cell r="O216">
            <v>0.35284894024397245</v>
          </cell>
          <cell r="Q216">
            <v>-0.20933472101274347</v>
          </cell>
          <cell r="S216" t="e">
            <v>#DIV/0!</v>
          </cell>
          <cell r="U216">
            <v>0.1631287381799813</v>
          </cell>
          <cell r="V216">
            <v>0.34170519837485869</v>
          </cell>
          <cell r="W216">
            <v>6.5930570616544587E-2</v>
          </cell>
          <cell r="X216">
            <v>-0.43771958451197746</v>
          </cell>
          <cell r="Y216">
            <v>-4.15444331635315E-2</v>
          </cell>
          <cell r="Z216">
            <v>7.4718076291823046E-2</v>
          </cell>
        </row>
        <row r="217">
          <cell r="E217" t="str">
            <v>£m</v>
          </cell>
          <cell r="G217">
            <v>14.099018974405169</v>
          </cell>
          <cell r="H217">
            <v>1.084971824350506</v>
          </cell>
          <cell r="I217">
            <v>6.1416003214448986</v>
          </cell>
          <cell r="J217">
            <v>3.0228701312638484</v>
          </cell>
          <cell r="K217">
            <v>1.434454507233575</v>
          </cell>
          <cell r="L217">
            <v>0.80296409159216098</v>
          </cell>
          <cell r="M217">
            <v>26.58587985029024</v>
          </cell>
          <cell r="N217">
            <v>1.0921000000000001</v>
          </cell>
          <cell r="O217">
            <v>0.20255991185133485</v>
          </cell>
          <cell r="P217">
            <v>0</v>
          </cell>
          <cell r="Q217">
            <v>-0.64937706862753075</v>
          </cell>
          <cell r="R217">
            <v>0</v>
          </cell>
          <cell r="S217">
            <v>0</v>
          </cell>
          <cell r="T217">
            <v>0</v>
          </cell>
          <cell r="U217">
            <v>0.1098962184045203</v>
          </cell>
          <cell r="V217">
            <v>2.3358764643744667</v>
          </cell>
          <cell r="W217">
            <v>4.5184729783731399E-2</v>
          </cell>
          <cell r="X217">
            <v>-9.0075560747663683E-3</v>
          </cell>
          <cell r="Y217">
            <v>-0.13398754999999982</v>
          </cell>
          <cell r="Z217">
            <v>29.579125000002087</v>
          </cell>
        </row>
        <row r="219">
          <cell r="E219" t="str">
            <v>Primary Maintained</v>
          </cell>
          <cell r="F219">
            <v>20068</v>
          </cell>
          <cell r="G219">
            <v>69492846.649147421</v>
          </cell>
          <cell r="H219">
            <v>1980201.5999999999</v>
          </cell>
          <cell r="I219">
            <v>3125589.1199999996</v>
          </cell>
          <cell r="J219">
            <v>3386139.7757531554</v>
          </cell>
          <cell r="K219">
            <v>6362632.3872244786</v>
          </cell>
          <cell r="L219">
            <v>1315119.369896597</v>
          </cell>
          <cell r="M219">
            <v>85662528.902021661</v>
          </cell>
          <cell r="N219">
            <v>7808000</v>
          </cell>
          <cell r="O219">
            <v>169957.64482758637</v>
          </cell>
          <cell r="P219">
            <v>1508224.7105843076</v>
          </cell>
          <cell r="Q219">
            <v>1508224.7105843076</v>
          </cell>
          <cell r="R219">
            <v>0</v>
          </cell>
          <cell r="S219">
            <v>0</v>
          </cell>
          <cell r="T219">
            <v>392843.61065177928</v>
          </cell>
          <cell r="U219">
            <v>392843.61065177928</v>
          </cell>
          <cell r="V219">
            <v>382186.72116158961</v>
          </cell>
          <cell r="W219">
            <v>51653.212802696493</v>
          </cell>
          <cell r="X219">
            <v>0</v>
          </cell>
          <cell r="Y219">
            <v>1503821</v>
          </cell>
          <cell r="Z219">
            <v>97479215.802049622</v>
          </cell>
        </row>
        <row r="220">
          <cell r="E220" t="str">
            <v>Primary Academies</v>
          </cell>
          <cell r="F220">
            <v>24419</v>
          </cell>
          <cell r="G220">
            <v>84559787.837628618</v>
          </cell>
          <cell r="H220">
            <v>3845594.9999999995</v>
          </cell>
          <cell r="I220">
            <v>6050190.944759612</v>
          </cell>
          <cell r="J220">
            <v>7218815.9959597513</v>
          </cell>
          <cell r="K220">
            <v>9368578.2040308621</v>
          </cell>
          <cell r="L220">
            <v>2403043.5932276575</v>
          </cell>
          <cell r="M220">
            <v>113446011.5756065</v>
          </cell>
          <cell r="N220">
            <v>9338285.3647853844</v>
          </cell>
          <cell r="O220">
            <v>420268.8434037944</v>
          </cell>
          <cell r="P220">
            <v>679675.46043999726</v>
          </cell>
          <cell r="Q220">
            <v>679675.46043999726</v>
          </cell>
          <cell r="R220">
            <v>0</v>
          </cell>
          <cell r="S220">
            <v>0</v>
          </cell>
          <cell r="T220">
            <v>389535.95044007135</v>
          </cell>
          <cell r="U220">
            <v>389535.95044007135</v>
          </cell>
          <cell r="V220">
            <v>424814.96534422459</v>
          </cell>
          <cell r="W220">
            <v>125658.15568019204</v>
          </cell>
          <cell r="X220">
            <v>11570.815086782359</v>
          </cell>
          <cell r="Y220">
            <v>421704.93760969036</v>
          </cell>
          <cell r="Z220">
            <v>125257526.06839663</v>
          </cell>
        </row>
        <row r="221">
          <cell r="E221" t="str">
            <v>Primary Total</v>
          </cell>
          <cell r="F221">
            <v>44487</v>
          </cell>
          <cell r="G221">
            <v>154052634.48677605</v>
          </cell>
          <cell r="H221">
            <v>5825796.5999999996</v>
          </cell>
          <cell r="I221">
            <v>9175780.0647596121</v>
          </cell>
          <cell r="J221">
            <v>10604955.771712907</v>
          </cell>
          <cell r="K221">
            <v>15731210.591255341</v>
          </cell>
          <cell r="L221">
            <v>3718162.9631242547</v>
          </cell>
          <cell r="M221">
            <v>199108540.47762817</v>
          </cell>
          <cell r="N221">
            <v>17146285.364785384</v>
          </cell>
          <cell r="O221">
            <v>590226.4882313807</v>
          </cell>
          <cell r="P221">
            <v>2187900.1710243048</v>
          </cell>
          <cell r="Q221">
            <v>2187900.1710243048</v>
          </cell>
          <cell r="R221">
            <v>0</v>
          </cell>
          <cell r="S221">
            <v>0</v>
          </cell>
          <cell r="T221">
            <v>782379.56109185063</v>
          </cell>
          <cell r="U221">
            <v>782379.56109185063</v>
          </cell>
          <cell r="V221">
            <v>807001.6865058142</v>
          </cell>
          <cell r="W221">
            <v>177311.36848288853</v>
          </cell>
          <cell r="X221">
            <v>11570.815086782359</v>
          </cell>
          <cell r="Y221">
            <v>1925525.9376096902</v>
          </cell>
          <cell r="Z221">
            <v>222736741.87044626</v>
          </cell>
        </row>
        <row r="222">
          <cell r="F222">
            <v>0</v>
          </cell>
          <cell r="G222">
            <v>2.4680048227310181E-8</v>
          </cell>
          <cell r="H222">
            <v>1.2369127944111824E-10</v>
          </cell>
          <cell r="I222">
            <v>-4.0599843487143517E-9</v>
          </cell>
          <cell r="J222">
            <v>6.8394001573324203E-9</v>
          </cell>
          <cell r="K222">
            <v>2.8085196390748024E-9</v>
          </cell>
          <cell r="L222">
            <v>-1.3824319466948509E-10</v>
          </cell>
          <cell r="M222">
            <v>-1.0477378964424133E-8</v>
          </cell>
          <cell r="N222">
            <v>1.3096723705530167E-9</v>
          </cell>
          <cell r="O222">
            <v>-1.3824319466948509E-10</v>
          </cell>
          <cell r="P222">
            <v>4.6566128730773926E-10</v>
          </cell>
          <cell r="Q222">
            <v>4.6566128730773926E-10</v>
          </cell>
          <cell r="R222">
            <v>0</v>
          </cell>
          <cell r="S222">
            <v>0</v>
          </cell>
          <cell r="T222">
            <v>1.1641532182693481E-10</v>
          </cell>
          <cell r="U222">
            <v>1.1641532182693481E-10</v>
          </cell>
          <cell r="V222">
            <v>-2.9103830456733704E-11</v>
          </cell>
          <cell r="W222">
            <v>0</v>
          </cell>
          <cell r="X222">
            <v>0</v>
          </cell>
          <cell r="Z222">
            <v>-6.0303136706352234E-8</v>
          </cell>
        </row>
        <row r="224">
          <cell r="E224" t="str">
            <v>Secondary Maintained</v>
          </cell>
          <cell r="F224">
            <v>1141</v>
          </cell>
          <cell r="G224">
            <v>5737541</v>
          </cell>
          <cell r="H224">
            <v>144936.0000000002</v>
          </cell>
          <cell r="I224">
            <v>278141.20000000007</v>
          </cell>
          <cell r="J224">
            <v>254540.26406069467</v>
          </cell>
          <cell r="K224">
            <v>365752.68856892991</v>
          </cell>
          <cell r="L224">
            <v>109549.99999999993</v>
          </cell>
          <cell r="M224">
            <v>6890461.1526296251</v>
          </cell>
          <cell r="N224">
            <v>128000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574804.2287517325</v>
          </cell>
          <cell r="W224">
            <v>385954.32764288998</v>
          </cell>
          <cell r="X224">
            <v>0</v>
          </cell>
          <cell r="Y224">
            <v>268800</v>
          </cell>
          <cell r="Z224">
            <v>8248019.7090242468</v>
          </cell>
        </row>
        <row r="225">
          <cell r="E225" t="str">
            <v>Secondary Academies</v>
          </cell>
          <cell r="F225">
            <v>29104</v>
          </cell>
          <cell r="G225">
            <v>146247344</v>
          </cell>
          <cell r="H225">
            <v>4442644.7999999989</v>
          </cell>
          <cell r="I225">
            <v>8354747.1499999994</v>
          </cell>
          <cell r="J225">
            <v>9073360.3441750631</v>
          </cell>
          <cell r="K225">
            <v>11979345.604487853</v>
          </cell>
          <cell r="L225">
            <v>1477095.8381123221</v>
          </cell>
          <cell r="M225">
            <v>181574537.73677528</v>
          </cell>
          <cell r="N225">
            <v>3589714.635214617</v>
          </cell>
          <cell r="O225">
            <v>186403.19895009289</v>
          </cell>
          <cell r="P225">
            <v>264821.95099317626</v>
          </cell>
          <cell r="Q225">
            <v>264821.95099317626</v>
          </cell>
          <cell r="R225">
            <v>0</v>
          </cell>
          <cell r="S225">
            <v>0</v>
          </cell>
          <cell r="T225">
            <v>1194.5121813249443</v>
          </cell>
          <cell r="U225">
            <v>1194.5121813249443</v>
          </cell>
          <cell r="V225">
            <v>7790011.2239554543</v>
          </cell>
          <cell r="W225">
            <v>167257.10006917798</v>
          </cell>
          <cell r="X225">
            <v>0</v>
          </cell>
          <cell r="Y225">
            <v>896849.06239030964</v>
          </cell>
          <cell r="Z225">
            <v>194470789.42052945</v>
          </cell>
        </row>
        <row r="226">
          <cell r="E226" t="str">
            <v>Secondary Total</v>
          </cell>
          <cell r="F226">
            <v>30245</v>
          </cell>
          <cell r="G226">
            <v>151984885</v>
          </cell>
          <cell r="H226">
            <v>4587580.7999999989</v>
          </cell>
          <cell r="I226">
            <v>8632888.3499999996</v>
          </cell>
          <cell r="J226">
            <v>9327900.6082357578</v>
          </cell>
          <cell r="K226">
            <v>12345098.293056782</v>
          </cell>
          <cell r="L226">
            <v>1586645.8381123221</v>
          </cell>
          <cell r="M226">
            <v>188464998.88940489</v>
          </cell>
          <cell r="N226">
            <v>3717714.635214617</v>
          </cell>
          <cell r="O226">
            <v>186403.19895009289</v>
          </cell>
          <cell r="P226">
            <v>264821.95099317626</v>
          </cell>
          <cell r="Q226">
            <v>264821.95099317626</v>
          </cell>
          <cell r="R226">
            <v>0</v>
          </cell>
          <cell r="S226">
            <v>0</v>
          </cell>
          <cell r="T226">
            <v>1194.5121813249443</v>
          </cell>
          <cell r="U226">
            <v>1194.5121813249443</v>
          </cell>
          <cell r="V226">
            <v>8364815.4527071863</v>
          </cell>
          <cell r="W226">
            <v>553211.42771206796</v>
          </cell>
          <cell r="X226">
            <v>0</v>
          </cell>
          <cell r="Y226">
            <v>1165649.0623903098</v>
          </cell>
          <cell r="Z226">
            <v>202718809.12955371</v>
          </cell>
        </row>
        <row r="227">
          <cell r="F227">
            <v>0</v>
          </cell>
          <cell r="G227">
            <v>0</v>
          </cell>
          <cell r="H227">
            <v>-1.5425030142068863E-9</v>
          </cell>
          <cell r="I227">
            <v>-5.2386894822120667E-10</v>
          </cell>
          <cell r="J227">
            <v>1.0477378964424133E-9</v>
          </cell>
          <cell r="K227">
            <v>-2.3865140974521637E-9</v>
          </cell>
          <cell r="L227">
            <v>8.0035533756017685E-11</v>
          </cell>
          <cell r="M227">
            <v>8.3819031715393066E-9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-5.8207660913467407E-10</v>
          </cell>
          <cell r="W227">
            <v>0</v>
          </cell>
          <cell r="X227">
            <v>0</v>
          </cell>
          <cell r="Z227">
            <v>8.1025063991546631E-8</v>
          </cell>
        </row>
        <row r="229">
          <cell r="E229" t="str">
            <v>Total Maintained</v>
          </cell>
          <cell r="F229">
            <v>21209</v>
          </cell>
          <cell r="G229">
            <v>75230387.649147421</v>
          </cell>
          <cell r="H229">
            <v>2125137.6</v>
          </cell>
          <cell r="I229">
            <v>3403730.32</v>
          </cell>
          <cell r="J229">
            <v>3640680.0398138501</v>
          </cell>
          <cell r="K229">
            <v>6728385.0757934088</v>
          </cell>
          <cell r="L229">
            <v>1424669.369896597</v>
          </cell>
          <cell r="M229">
            <v>92552990.05465129</v>
          </cell>
          <cell r="N229">
            <v>7936000</v>
          </cell>
          <cell r="O229">
            <v>169957.64482758637</v>
          </cell>
          <cell r="P229">
            <v>1508224.7105843076</v>
          </cell>
          <cell r="Q229">
            <v>1508224.7105843076</v>
          </cell>
          <cell r="R229">
            <v>0</v>
          </cell>
          <cell r="S229">
            <v>0</v>
          </cell>
          <cell r="T229">
            <v>392843.61065177928</v>
          </cell>
          <cell r="U229">
            <v>392843.61065177928</v>
          </cell>
          <cell r="V229">
            <v>956990.94991332211</v>
          </cell>
          <cell r="W229">
            <v>437607.54044558649</v>
          </cell>
          <cell r="X229">
            <v>0</v>
          </cell>
          <cell r="Y229">
            <v>1772621</v>
          </cell>
          <cell r="Z229">
            <v>105727235.51107387</v>
          </cell>
        </row>
        <row r="230">
          <cell r="E230" t="str">
            <v>Total Academies</v>
          </cell>
          <cell r="F230">
            <v>53523</v>
          </cell>
          <cell r="G230">
            <v>230807131.8376286</v>
          </cell>
          <cell r="H230">
            <v>8288239.7999999989</v>
          </cell>
          <cell r="I230">
            <v>14404938.094759611</v>
          </cell>
          <cell r="J230">
            <v>16292176.340134814</v>
          </cell>
          <cell r="K230">
            <v>21347923.808518715</v>
          </cell>
          <cell r="L230">
            <v>3880139.4313399796</v>
          </cell>
          <cell r="M230">
            <v>295020549.31238174</v>
          </cell>
          <cell r="N230">
            <v>12928000.000000002</v>
          </cell>
          <cell r="O230">
            <v>606672.04235388734</v>
          </cell>
          <cell r="P230">
            <v>944497.41143317358</v>
          </cell>
          <cell r="Q230">
            <v>944497.41143317358</v>
          </cell>
          <cell r="R230">
            <v>0</v>
          </cell>
          <cell r="S230">
            <v>0</v>
          </cell>
          <cell r="T230">
            <v>390730.46262139629</v>
          </cell>
          <cell r="U230">
            <v>390730.46262139629</v>
          </cell>
          <cell r="V230">
            <v>8214826.1892996784</v>
          </cell>
          <cell r="W230">
            <v>292915.25574937003</v>
          </cell>
          <cell r="X230">
            <v>11570.815086782359</v>
          </cell>
          <cell r="Y230">
            <v>1318554</v>
          </cell>
          <cell r="Z230">
            <v>319728315.48892605</v>
          </cell>
        </row>
        <row r="231">
          <cell r="E231" t="str">
            <v>Total All Schools</v>
          </cell>
          <cell r="F231">
            <v>74732</v>
          </cell>
          <cell r="G231">
            <v>306037519.48677605</v>
          </cell>
          <cell r="H231">
            <v>10413377.399999999</v>
          </cell>
          <cell r="I231">
            <v>17808668.414759614</v>
          </cell>
          <cell r="J231">
            <v>19932856.379948664</v>
          </cell>
          <cell r="K231">
            <v>28076308.884312123</v>
          </cell>
          <cell r="L231">
            <v>5304808.8012365773</v>
          </cell>
          <cell r="M231">
            <v>387573539.36703306</v>
          </cell>
          <cell r="N231">
            <v>20864000</v>
          </cell>
          <cell r="O231">
            <v>776629.68718147359</v>
          </cell>
          <cell r="P231">
            <v>2452722.1220174809</v>
          </cell>
          <cell r="Q231">
            <v>2452722.1220174809</v>
          </cell>
          <cell r="R231">
            <v>0</v>
          </cell>
          <cell r="S231">
            <v>0</v>
          </cell>
          <cell r="T231">
            <v>783574.07327317563</v>
          </cell>
          <cell r="U231">
            <v>783574.07327317563</v>
          </cell>
          <cell r="V231">
            <v>9171817.1392130014</v>
          </cell>
          <cell r="W231">
            <v>730522.79619495652</v>
          </cell>
          <cell r="X231">
            <v>11570.815086782359</v>
          </cell>
          <cell r="Y231">
            <v>3091175</v>
          </cell>
          <cell r="Z231">
            <v>425455551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Z232">
            <v>0</v>
          </cell>
        </row>
        <row r="234">
          <cell r="G234" t="str">
            <v>£m</v>
          </cell>
        </row>
        <row r="235">
          <cell r="F235" t="str">
            <v>Min Fund</v>
          </cell>
          <cell r="G235">
            <v>-0.6</v>
          </cell>
        </row>
        <row r="236">
          <cell r="F236" t="str">
            <v>MFG</v>
          </cell>
          <cell r="G236">
            <v>0.1</v>
          </cell>
        </row>
        <row r="237">
          <cell r="F237" t="str">
            <v>AWPU</v>
          </cell>
          <cell r="G237">
            <v>14.1</v>
          </cell>
        </row>
        <row r="238">
          <cell r="F238" t="str">
            <v>SD</v>
          </cell>
          <cell r="G238">
            <v>10.199999999999999</v>
          </cell>
        </row>
        <row r="239">
          <cell r="F239" t="str">
            <v>Prior Att</v>
          </cell>
          <cell r="G239">
            <v>1.4</v>
          </cell>
        </row>
        <row r="240">
          <cell r="F240" t="str">
            <v>Lump Sum</v>
          </cell>
          <cell r="G240">
            <v>1.1000000000000001</v>
          </cell>
        </row>
        <row r="241">
          <cell r="F241" t="str">
            <v>EAL/Mob</v>
          </cell>
          <cell r="G241">
            <v>1</v>
          </cell>
        </row>
        <row r="242">
          <cell r="G242">
            <v>27.299999999999997</v>
          </cell>
        </row>
      </sheetData>
      <sheetData sheetId="40">
        <row r="1">
          <cell r="C1" t="str">
            <v>Sheffield Indicative School Budget Shares 2023-24</v>
          </cell>
        </row>
        <row r="4">
          <cell r="E4" t="str">
            <v>A</v>
          </cell>
          <cell r="F4" t="str">
            <v>B</v>
          </cell>
          <cell r="G4" t="str">
            <v>C</v>
          </cell>
          <cell r="I4" t="str">
            <v>D</v>
          </cell>
          <cell r="J4" t="str">
            <v>E</v>
          </cell>
          <cell r="K4" t="str">
            <v>F</v>
          </cell>
          <cell r="M4" t="str">
            <v>G=(D+F)</v>
          </cell>
          <cell r="N4" t="str">
            <v>H=(G/A)</v>
          </cell>
          <cell r="O4" t="str">
            <v>I</v>
          </cell>
          <cell r="P4" t="str">
            <v>J</v>
          </cell>
          <cell r="Q4" t="str">
            <v>K=(I+J)</v>
          </cell>
          <cell r="R4" t="str">
            <v>L=(I/B)</v>
          </cell>
          <cell r="S4" t="str">
            <v>M=(L-H))</v>
          </cell>
          <cell r="T4" t="str">
            <v>N=(M/H)</v>
          </cell>
          <cell r="U4" t="str">
            <v>O=(I-G)</v>
          </cell>
          <cell r="V4" t="str">
            <v>P=(K/B)</v>
          </cell>
          <cell r="W4" t="str">
            <v>Q=(P-H)</v>
          </cell>
          <cell r="X4" t="str">
            <v>R=(Q/H)</v>
          </cell>
          <cell r="Y4" t="str">
            <v>S=(K-G)</v>
          </cell>
          <cell r="Z4" t="str">
            <v>T</v>
          </cell>
          <cell r="AA4" t="str">
            <v>U</v>
          </cell>
        </row>
        <row r="5">
          <cell r="E5" t="str">
            <v>2022-23 Pupil No.</v>
          </cell>
          <cell r="F5" t="str">
            <v>2023-24 Pupil No.</v>
          </cell>
          <cell r="G5" t="str">
            <v>Change in Funded Pupil No.</v>
          </cell>
          <cell r="I5" t="str">
            <v>2022-23</v>
          </cell>
          <cell r="O5" t="str">
            <v>2023-24</v>
          </cell>
          <cell r="R5" t="str">
            <v>2023-2024</v>
          </cell>
        </row>
        <row r="6">
          <cell r="C6" t="str">
            <v>DfE</v>
          </cell>
          <cell r="D6" t="str">
            <v>School</v>
          </cell>
          <cell r="I6" t="str">
            <v>£ Budget Share</v>
          </cell>
          <cell r="J6" t="str">
            <v>£/Pupil</v>
          </cell>
          <cell r="K6" t="str">
            <v>R-Y11 Supplementary Grant</v>
          </cell>
          <cell r="L6" t="str">
            <v>£/pupil</v>
          </cell>
          <cell r="M6" t="str">
            <v>£ Budget Share Incl Supp Grant</v>
          </cell>
          <cell r="N6" t="str">
            <v>£/pupil incl Supp Gr</v>
          </cell>
          <cell r="O6" t="str">
            <v>£ Budget Share</v>
          </cell>
          <cell r="P6" t="str">
            <v>Est. MSAG £</v>
          </cell>
          <cell r="Q6" t="str">
            <v>£ Budget Share incl. est MSAG</v>
          </cell>
          <cell r="R6" t="str">
            <v>Budget Share Excluding est. MSAG</v>
          </cell>
          <cell r="V6" t="str">
            <v>Budget Share Including est. MSAG</v>
          </cell>
          <cell r="Z6" t="str">
            <v>Pupil Premium 22-23</v>
          </cell>
          <cell r="AA6" t="str">
            <v>Est. Pupil Premium 23-24</v>
          </cell>
        </row>
        <row r="7">
          <cell r="R7" t="str">
            <v>£ / Pupil</v>
          </cell>
          <cell r="S7" t="str">
            <v>£/pupil Change</v>
          </cell>
          <cell r="U7" t="str">
            <v xml:space="preserve">£ Cash Change   </v>
          </cell>
          <cell r="V7" t="str">
            <v>£ / Pupil</v>
          </cell>
          <cell r="W7" t="str">
            <v>£/pupil Change</v>
          </cell>
          <cell r="Y7" t="str">
            <v xml:space="preserve">£ Cash Change   </v>
          </cell>
        </row>
        <row r="8">
          <cell r="C8" t="str">
            <v>dfe</v>
          </cell>
          <cell r="D8" t="str">
            <v>school</v>
          </cell>
          <cell r="E8" t="str">
            <v>1920pup</v>
          </cell>
          <cell r="F8" t="str">
            <v>2021pup</v>
          </cell>
          <cell r="G8" t="str">
            <v>chpup</v>
          </cell>
          <cell r="H8" t="str">
            <v>bl</v>
          </cell>
          <cell r="I8" t="str">
            <v>budsh1920</v>
          </cell>
          <cell r="J8" t="str">
            <v>1920£pup</v>
          </cell>
          <cell r="O8" t="str">
            <v>budsh2021</v>
          </cell>
          <cell r="R8" t="str">
            <v>2021£pup</v>
          </cell>
          <cell r="S8" t="str">
            <v>2021£pupch</v>
          </cell>
          <cell r="T8" t="str">
            <v>2021%£pupch</v>
          </cell>
          <cell r="U8" t="str">
            <v>2021cashch</v>
          </cell>
        </row>
        <row r="9">
          <cell r="C9">
            <v>2001</v>
          </cell>
          <cell r="D9" t="str">
            <v>Abbey Lane Primary School</v>
          </cell>
          <cell r="E9">
            <v>557</v>
          </cell>
          <cell r="F9">
            <v>546</v>
          </cell>
          <cell r="G9">
            <v>-11</v>
          </cell>
          <cell r="I9">
            <v>2419994.3863481223</v>
          </cell>
          <cell r="J9">
            <v>4344.693691827868</v>
          </cell>
          <cell r="K9">
            <v>64764</v>
          </cell>
          <cell r="L9">
            <v>116.27289048473968</v>
          </cell>
          <cell r="M9">
            <v>2484758.3863481223</v>
          </cell>
          <cell r="N9">
            <v>4460.966582312607</v>
          </cell>
          <cell r="O9">
            <v>2450359.6051360951</v>
          </cell>
          <cell r="P9">
            <v>78011.999999999985</v>
          </cell>
          <cell r="Q9">
            <v>2528371.6051360951</v>
          </cell>
          <cell r="R9">
            <v>4487.8381046448631</v>
          </cell>
          <cell r="S9">
            <v>26.871522332256063</v>
          </cell>
          <cell r="T9">
            <v>6.0000000000000001E-3</v>
          </cell>
          <cell r="U9">
            <v>-34398.781212027185</v>
          </cell>
          <cell r="V9">
            <v>4630.7172255239839</v>
          </cell>
          <cell r="W9">
            <v>169.75064321137688</v>
          </cell>
          <cell r="X9">
            <v>3.8052435515752409E-2</v>
          </cell>
          <cell r="Y9">
            <v>43613.218787972815</v>
          </cell>
          <cell r="Z9">
            <v>110800</v>
          </cell>
          <cell r="AA9">
            <v>116400</v>
          </cell>
        </row>
        <row r="10">
          <cell r="C10">
            <v>2046</v>
          </cell>
          <cell r="D10" t="str">
            <v>Abbeyfield Primary Academy</v>
          </cell>
          <cell r="E10">
            <v>354</v>
          </cell>
          <cell r="F10">
            <v>372</v>
          </cell>
          <cell r="G10">
            <v>18</v>
          </cell>
          <cell r="I10">
            <v>1806311.8130876857</v>
          </cell>
          <cell r="J10">
            <v>5102.5757431855527</v>
          </cell>
          <cell r="K10">
            <v>53233</v>
          </cell>
          <cell r="L10">
            <v>150.37570621468927</v>
          </cell>
          <cell r="M10">
            <v>1859544.8130876857</v>
          </cell>
          <cell r="N10">
            <v>5252.9514494002424</v>
          </cell>
          <cell r="O10">
            <v>1957597.8188535536</v>
          </cell>
          <cell r="P10">
            <v>66562.000000000015</v>
          </cell>
          <cell r="Q10">
            <v>2024159.8188535536</v>
          </cell>
          <cell r="R10">
            <v>5262.3597281009506</v>
          </cell>
          <cell r="S10">
            <v>9.4082787007082516</v>
          </cell>
          <cell r="T10">
            <v>2E-3</v>
          </cell>
          <cell r="U10">
            <v>98053.005765867885</v>
          </cell>
          <cell r="V10">
            <v>5441.289835627832</v>
          </cell>
          <cell r="W10">
            <v>188.33838622758958</v>
          </cell>
          <cell r="X10">
            <v>3.585382199736363E-2</v>
          </cell>
          <cell r="Y10">
            <v>164615.00576586789</v>
          </cell>
          <cell r="Z10">
            <v>247915</v>
          </cell>
          <cell r="AA10">
            <v>260445</v>
          </cell>
        </row>
        <row r="11">
          <cell r="C11">
            <v>2048</v>
          </cell>
          <cell r="D11" t="str">
            <v>Acres Hill Community Primary School</v>
          </cell>
          <cell r="E11">
            <v>194</v>
          </cell>
          <cell r="F11">
            <v>205</v>
          </cell>
          <cell r="G11">
            <v>11</v>
          </cell>
          <cell r="I11">
            <v>1060021.6610977075</v>
          </cell>
          <cell r="J11">
            <v>5464.029180916018</v>
          </cell>
          <cell r="K11">
            <v>31083</v>
          </cell>
          <cell r="L11">
            <v>160.22164948453607</v>
          </cell>
          <cell r="M11">
            <v>1091104.6610977075</v>
          </cell>
          <cell r="N11">
            <v>5624.2508304005542</v>
          </cell>
          <cell r="O11">
            <v>1174136.444834647</v>
          </cell>
          <cell r="P11">
            <v>39513</v>
          </cell>
          <cell r="Q11">
            <v>1213649.444834647</v>
          </cell>
          <cell r="R11">
            <v>5727.4948528519362</v>
          </cell>
          <cell r="S11">
            <v>103.24402245138208</v>
          </cell>
          <cell r="T11">
            <v>1.7999999999999999E-2</v>
          </cell>
          <cell r="U11">
            <v>83031.783736939542</v>
          </cell>
          <cell r="V11">
            <v>5920.2411943153511</v>
          </cell>
          <cell r="W11">
            <v>295.99036391479694</v>
          </cell>
          <cell r="X11">
            <v>5.2627518373627863E-2</v>
          </cell>
          <cell r="Y11">
            <v>122544.78373693954</v>
          </cell>
          <cell r="Z11">
            <v>139192.5</v>
          </cell>
          <cell r="AA11">
            <v>146227.5</v>
          </cell>
        </row>
        <row r="12">
          <cell r="C12">
            <v>2342</v>
          </cell>
          <cell r="D12" t="str">
            <v>Angram Bank Primary School</v>
          </cell>
          <cell r="E12">
            <v>195</v>
          </cell>
          <cell r="F12">
            <v>184</v>
          </cell>
          <cell r="G12">
            <v>-11</v>
          </cell>
          <cell r="I12">
            <v>982394.10351014114</v>
          </cell>
          <cell r="J12">
            <v>5037.9184795391857</v>
          </cell>
          <cell r="K12">
            <v>29905</v>
          </cell>
          <cell r="L12">
            <v>153.35897435897436</v>
          </cell>
          <cell r="M12">
            <v>1012299.1035101411</v>
          </cell>
          <cell r="N12">
            <v>5191.2774538981594</v>
          </cell>
          <cell r="O12">
            <v>983381.41527732834</v>
          </cell>
          <cell r="P12">
            <v>35038</v>
          </cell>
          <cell r="Q12">
            <v>1018419.4152773283</v>
          </cell>
          <cell r="R12">
            <v>5344.4642134637406</v>
          </cell>
          <cell r="S12">
            <v>153.18675956558127</v>
          </cell>
          <cell r="T12">
            <v>0.03</v>
          </cell>
          <cell r="U12">
            <v>-28917.688232812798</v>
          </cell>
          <cell r="V12">
            <v>5534.8881265072196</v>
          </cell>
          <cell r="W12">
            <v>343.6106726090602</v>
          </cell>
          <cell r="X12">
            <v>6.6190003454937862E-2</v>
          </cell>
          <cell r="Y12">
            <v>6120.3117671872023</v>
          </cell>
          <cell r="Z12">
            <v>119430</v>
          </cell>
          <cell r="AA12">
            <v>125465</v>
          </cell>
        </row>
        <row r="13">
          <cell r="C13">
            <v>2343</v>
          </cell>
          <cell r="D13" t="str">
            <v>Anns Grove Primary School</v>
          </cell>
          <cell r="E13">
            <v>324</v>
          </cell>
          <cell r="F13">
            <v>334</v>
          </cell>
          <cell r="G13">
            <v>10</v>
          </cell>
          <cell r="I13">
            <v>1588270.5784929248</v>
          </cell>
          <cell r="J13">
            <v>4902.0696867065581</v>
          </cell>
          <cell r="K13">
            <v>46243</v>
          </cell>
          <cell r="L13">
            <v>142.72530864197532</v>
          </cell>
          <cell r="M13">
            <v>1634513.5784929248</v>
          </cell>
          <cell r="N13">
            <v>5044.7949953485331</v>
          </cell>
          <cell r="O13">
            <v>1717572.4828582716</v>
          </cell>
          <cell r="P13">
            <v>58191.999999999993</v>
          </cell>
          <cell r="Q13">
            <v>1775764.4828582716</v>
          </cell>
          <cell r="R13">
            <v>5142.4325834079991</v>
          </cell>
          <cell r="S13">
            <v>97.637588059465998</v>
          </cell>
          <cell r="T13">
            <v>1.9E-2</v>
          </cell>
          <cell r="U13">
            <v>83058.904365346767</v>
          </cell>
          <cell r="V13">
            <v>5316.6601283181781</v>
          </cell>
          <cell r="W13">
            <v>271.86513296964495</v>
          </cell>
          <cell r="X13">
            <v>5.3890224126116826E-2</v>
          </cell>
          <cell r="Y13">
            <v>141250.90436534677</v>
          </cell>
          <cell r="Z13">
            <v>191380</v>
          </cell>
          <cell r="AA13">
            <v>201040</v>
          </cell>
        </row>
        <row r="14">
          <cell r="C14">
            <v>3429</v>
          </cell>
          <cell r="D14" t="str">
            <v>Arbourthorne Community Primary School</v>
          </cell>
          <cell r="E14">
            <v>403</v>
          </cell>
          <cell r="F14">
            <v>420</v>
          </cell>
          <cell r="G14">
            <v>17</v>
          </cell>
          <cell r="I14">
            <v>2178188.6190562863</v>
          </cell>
          <cell r="J14">
            <v>5404.9345386012064</v>
          </cell>
          <cell r="K14">
            <v>64616</v>
          </cell>
          <cell r="L14">
            <v>160.33746898263027</v>
          </cell>
          <cell r="M14">
            <v>2242804.6190562863</v>
          </cell>
          <cell r="N14">
            <v>5565.272007583837</v>
          </cell>
          <cell r="O14">
            <v>2412851.6079854686</v>
          </cell>
          <cell r="P14">
            <v>81946.000000000015</v>
          </cell>
          <cell r="Q14">
            <v>2494797.6079854686</v>
          </cell>
          <cell r="R14">
            <v>5744.8847809177823</v>
          </cell>
          <cell r="S14">
            <v>179.61277333394537</v>
          </cell>
          <cell r="T14">
            <v>3.2000000000000001E-2</v>
          </cell>
          <cell r="U14">
            <v>170046.98892918229</v>
          </cell>
          <cell r="V14">
            <v>5939.9943047273064</v>
          </cell>
          <cell r="W14">
            <v>374.7222971434694</v>
          </cell>
          <cell r="X14">
            <v>6.7332251978489563E-2</v>
          </cell>
          <cell r="Y14">
            <v>251992.98892918229</v>
          </cell>
          <cell r="Z14">
            <v>353175</v>
          </cell>
          <cell r="AA14">
            <v>371025</v>
          </cell>
        </row>
        <row r="15">
          <cell r="C15">
            <v>2340</v>
          </cell>
          <cell r="D15" t="str">
            <v>Athelstan Primary School</v>
          </cell>
          <cell r="E15">
            <v>615</v>
          </cell>
          <cell r="F15">
            <v>614</v>
          </cell>
          <cell r="G15">
            <v>-1</v>
          </cell>
          <cell r="I15">
            <v>2775213.3556630551</v>
          </cell>
          <cell r="J15">
            <v>4512.542041728545</v>
          </cell>
          <cell r="K15">
            <v>80590</v>
          </cell>
          <cell r="L15">
            <v>131.04065040650406</v>
          </cell>
          <cell r="M15">
            <v>2855803.3556630551</v>
          </cell>
          <cell r="N15">
            <v>4643.582692135049</v>
          </cell>
          <cell r="O15">
            <v>2864874.450274799</v>
          </cell>
          <cell r="P15">
            <v>97751.999999999985</v>
          </cell>
          <cell r="Q15">
            <v>2962626.450274799</v>
          </cell>
          <cell r="R15">
            <v>4665.9193001218227</v>
          </cell>
          <cell r="S15">
            <v>22.336607986773743</v>
          </cell>
          <cell r="T15">
            <v>5.0000000000000001E-3</v>
          </cell>
          <cell r="U15">
            <v>9071.0946117439307</v>
          </cell>
          <cell r="V15">
            <v>4825.1245118482066</v>
          </cell>
          <cell r="W15">
            <v>181.54181971315757</v>
          </cell>
          <cell r="X15">
            <v>3.9095205523235206E-2</v>
          </cell>
          <cell r="Y15">
            <v>106823.09461174393</v>
          </cell>
          <cell r="Z15">
            <v>300980</v>
          </cell>
          <cell r="AA15">
            <v>316165</v>
          </cell>
        </row>
        <row r="16">
          <cell r="C16">
            <v>2281</v>
          </cell>
          <cell r="D16" t="str">
            <v>Ballifield Primary School</v>
          </cell>
          <cell r="E16">
            <v>415</v>
          </cell>
          <cell r="F16">
            <v>415</v>
          </cell>
          <cell r="G16">
            <v>0</v>
          </cell>
          <cell r="I16">
            <v>1825390.7372302713</v>
          </cell>
          <cell r="J16">
            <v>4398.5318969404125</v>
          </cell>
          <cell r="K16">
            <v>49715</v>
          </cell>
          <cell r="L16">
            <v>119.79518072289157</v>
          </cell>
          <cell r="M16">
            <v>1875105.7372302713</v>
          </cell>
          <cell r="N16">
            <v>4518.3270776633044</v>
          </cell>
          <cell r="O16">
            <v>1883701.7459164232</v>
          </cell>
          <cell r="P16">
            <v>61175.000000000015</v>
          </cell>
          <cell r="Q16">
            <v>1944876.7459164232</v>
          </cell>
          <cell r="R16">
            <v>4539.0403516058386</v>
          </cell>
          <cell r="S16">
            <v>20.713273942534215</v>
          </cell>
          <cell r="T16">
            <v>5.0000000000000001E-3</v>
          </cell>
          <cell r="U16">
            <v>8596.0086861518212</v>
          </cell>
          <cell r="V16">
            <v>4686.4499901600557</v>
          </cell>
          <cell r="W16">
            <v>168.12291249675127</v>
          </cell>
          <cell r="X16">
            <v>3.720910629243282E-2</v>
          </cell>
          <cell r="Y16">
            <v>69771.008686151821</v>
          </cell>
          <cell r="Z16">
            <v>101410</v>
          </cell>
          <cell r="AA16">
            <v>106530</v>
          </cell>
        </row>
        <row r="17">
          <cell r="C17">
            <v>2322</v>
          </cell>
          <cell r="D17" t="str">
            <v>Bankwood Community Primary School</v>
          </cell>
          <cell r="E17">
            <v>363</v>
          </cell>
          <cell r="F17">
            <v>384</v>
          </cell>
          <cell r="G17">
            <v>21</v>
          </cell>
          <cell r="I17">
            <v>1978156.4359228562</v>
          </cell>
          <cell r="J17">
            <v>5449.4667656277034</v>
          </cell>
          <cell r="K17">
            <v>61501</v>
          </cell>
          <cell r="L17">
            <v>169.42424242424244</v>
          </cell>
          <cell r="M17">
            <v>2039657.4359228562</v>
          </cell>
          <cell r="N17">
            <v>5618.8910080519454</v>
          </cell>
          <cell r="O17">
            <v>2236694.8309133435</v>
          </cell>
          <cell r="P17">
            <v>79014.000000000015</v>
          </cell>
          <cell r="Q17">
            <v>2315708.8309133435</v>
          </cell>
          <cell r="R17">
            <v>5824.7261221701656</v>
          </cell>
          <cell r="S17">
            <v>205.83511411822019</v>
          </cell>
          <cell r="T17">
            <v>3.6999999999999998E-2</v>
          </cell>
          <cell r="U17">
            <v>197037.39499048726</v>
          </cell>
          <cell r="V17">
            <v>6030.4917471701656</v>
          </cell>
          <cell r="W17">
            <v>411.60073911822019</v>
          </cell>
          <cell r="X17">
            <v>7.3253020663399754E-2</v>
          </cell>
          <cell r="Y17">
            <v>276051.39499048726</v>
          </cell>
          <cell r="Z17">
            <v>365640</v>
          </cell>
          <cell r="AA17">
            <v>384120</v>
          </cell>
        </row>
        <row r="18">
          <cell r="C18">
            <v>2274</v>
          </cell>
          <cell r="D18" t="str">
            <v>Beck Primary School</v>
          </cell>
          <cell r="E18">
            <v>610</v>
          </cell>
          <cell r="F18">
            <v>615</v>
          </cell>
          <cell r="G18">
            <v>5</v>
          </cell>
          <cell r="I18">
            <v>3010321.7402604581</v>
          </cell>
          <cell r="J18">
            <v>4934.9536725581283</v>
          </cell>
          <cell r="K18">
            <v>91750</v>
          </cell>
          <cell r="L18">
            <v>150.40983606557376</v>
          </cell>
          <cell r="M18">
            <v>3102071.7402604581</v>
          </cell>
          <cell r="N18">
            <v>5085.3635086237018</v>
          </cell>
          <cell r="O18">
            <v>3210103.4545847522</v>
          </cell>
          <cell r="P18">
            <v>113159</v>
          </cell>
          <cell r="Q18">
            <v>3323262.4545847522</v>
          </cell>
          <cell r="R18">
            <v>5219.6804139589467</v>
          </cell>
          <cell r="S18">
            <v>134.31690533524488</v>
          </cell>
          <cell r="T18">
            <v>2.5999999999999999E-2</v>
          </cell>
          <cell r="U18">
            <v>108031.71432429412</v>
          </cell>
          <cell r="V18">
            <v>5403.6787879426865</v>
          </cell>
          <cell r="W18">
            <v>318.31527931898472</v>
          </cell>
          <cell r="X18">
            <v>6.2594400337200928E-2</v>
          </cell>
          <cell r="Y18">
            <v>221190.71432429412</v>
          </cell>
          <cell r="Z18">
            <v>469100</v>
          </cell>
          <cell r="AA18">
            <v>492800</v>
          </cell>
        </row>
        <row r="19">
          <cell r="C19">
            <v>2241</v>
          </cell>
          <cell r="D19" t="str">
            <v>Beighton Nursery Infant School</v>
          </cell>
          <cell r="E19">
            <v>249</v>
          </cell>
          <cell r="F19">
            <v>242</v>
          </cell>
          <cell r="G19">
            <v>-7</v>
          </cell>
          <cell r="I19">
            <v>1126891.6854825572</v>
          </cell>
          <cell r="J19">
            <v>4525.6694196086637</v>
          </cell>
          <cell r="K19">
            <v>30978</v>
          </cell>
          <cell r="L19">
            <v>124.40963855421687</v>
          </cell>
          <cell r="M19">
            <v>1157869.6854825572</v>
          </cell>
          <cell r="N19">
            <v>4650.0790581628798</v>
          </cell>
          <cell r="O19">
            <v>1134406.2990912157</v>
          </cell>
          <cell r="P19">
            <v>37884.000000000007</v>
          </cell>
          <cell r="Q19">
            <v>1172290.2990912157</v>
          </cell>
          <cell r="R19">
            <v>4687.6293350876686</v>
          </cell>
          <cell r="S19">
            <v>37.550276924788704</v>
          </cell>
          <cell r="T19">
            <v>8.0000000000000002E-3</v>
          </cell>
          <cell r="U19">
            <v>-23463.386391341453</v>
          </cell>
          <cell r="V19">
            <v>4844.1747896331226</v>
          </cell>
          <cell r="W19">
            <v>194.09573147024275</v>
          </cell>
          <cell r="X19">
            <v>4.1740307861975301E-2</v>
          </cell>
          <cell r="Y19">
            <v>14420.613608658547</v>
          </cell>
          <cell r="Z19">
            <v>66040</v>
          </cell>
          <cell r="AA19">
            <v>69370</v>
          </cell>
        </row>
        <row r="20">
          <cell r="C20">
            <v>2353</v>
          </cell>
          <cell r="D20" t="str">
            <v>Birley Primary Academy</v>
          </cell>
          <cell r="E20">
            <v>533</v>
          </cell>
          <cell r="F20">
            <v>528</v>
          </cell>
          <cell r="G20">
            <v>-5</v>
          </cell>
          <cell r="I20">
            <v>2284533.9228030886</v>
          </cell>
          <cell r="J20">
            <v>4286.1799677356257</v>
          </cell>
          <cell r="K20">
            <v>67876</v>
          </cell>
          <cell r="L20">
            <v>127.34709193245779</v>
          </cell>
          <cell r="M20">
            <v>2352409.9228030886</v>
          </cell>
          <cell r="N20">
            <v>4413.5270596680839</v>
          </cell>
          <cell r="O20">
            <v>2342591.2837684387</v>
          </cell>
          <cell r="P20">
            <v>83462</v>
          </cell>
          <cell r="Q20">
            <v>2426053.2837684387</v>
          </cell>
          <cell r="R20">
            <v>4436.7259162281034</v>
          </cell>
          <cell r="S20">
            <v>23.198856560019522</v>
          </cell>
          <cell r="T20">
            <v>5.0000000000000001E-3</v>
          </cell>
          <cell r="U20">
            <v>-9818.6390346498229</v>
          </cell>
          <cell r="V20">
            <v>4594.7978859250734</v>
          </cell>
          <cell r="W20">
            <v>181.27082625698949</v>
          </cell>
          <cell r="X20">
            <v>4.1071647189724454E-2</v>
          </cell>
          <cell r="Y20">
            <v>73643.360965350177</v>
          </cell>
          <cell r="Z20">
            <v>207630</v>
          </cell>
          <cell r="AA20">
            <v>218115</v>
          </cell>
        </row>
        <row r="21">
          <cell r="C21">
            <v>2323</v>
          </cell>
          <cell r="D21" t="str">
            <v>Birley Spa Primary Academy</v>
          </cell>
          <cell r="E21">
            <v>355</v>
          </cell>
          <cell r="F21">
            <v>337</v>
          </cell>
          <cell r="G21">
            <v>-18</v>
          </cell>
          <cell r="I21">
            <v>1667250.2014869468</v>
          </cell>
          <cell r="J21">
            <v>4696.4794408083008</v>
          </cell>
          <cell r="K21">
            <v>49675</v>
          </cell>
          <cell r="L21">
            <v>139.92957746478874</v>
          </cell>
          <cell r="M21">
            <v>1716925.2014869468</v>
          </cell>
          <cell r="N21">
            <v>4836.4090182730897</v>
          </cell>
          <cell r="O21">
            <v>1664114.4893446702</v>
          </cell>
          <cell r="P21">
            <v>58445.000000000007</v>
          </cell>
          <cell r="Q21">
            <v>1722559.4893446702</v>
          </cell>
          <cell r="R21">
            <v>4938.0251909337394</v>
          </cell>
          <cell r="S21">
            <v>101.61617266064968</v>
          </cell>
          <cell r="T21">
            <v>2.1000000000000001E-2</v>
          </cell>
          <cell r="U21">
            <v>-52810.712142276578</v>
          </cell>
          <cell r="V21">
            <v>5111.4524906370034</v>
          </cell>
          <cell r="W21">
            <v>275.04347236391368</v>
          </cell>
          <cell r="X21">
            <v>5.6869357269977543E-2</v>
          </cell>
          <cell r="Y21">
            <v>5634.2878577234223</v>
          </cell>
          <cell r="Z21">
            <v>186975</v>
          </cell>
          <cell r="AA21">
            <v>196425</v>
          </cell>
        </row>
        <row r="22">
          <cell r="C22">
            <v>2328</v>
          </cell>
          <cell r="D22" t="str">
            <v>Bradfield Dungworth Primary School</v>
          </cell>
          <cell r="E22">
            <v>126</v>
          </cell>
          <cell r="F22">
            <v>137</v>
          </cell>
          <cell r="G22">
            <v>11</v>
          </cell>
          <cell r="I22">
            <v>604548.91903473251</v>
          </cell>
          <cell r="J22">
            <v>4798.0072939264483</v>
          </cell>
          <cell r="K22">
            <v>16752</v>
          </cell>
          <cell r="L22">
            <v>132.95238095238096</v>
          </cell>
          <cell r="M22">
            <v>621300.91903473251</v>
          </cell>
          <cell r="N22">
            <v>4930.959674878829</v>
          </cell>
          <cell r="O22">
            <v>665615.54844825424</v>
          </cell>
          <cell r="P22">
            <v>21853</v>
          </cell>
          <cell r="Q22">
            <v>687468.54844825424</v>
          </cell>
          <cell r="R22">
            <v>4858.5076529069656</v>
          </cell>
          <cell r="S22">
            <v>-72.45202197186336</v>
          </cell>
          <cell r="T22">
            <v>-1.4999999999999999E-2</v>
          </cell>
          <cell r="U22">
            <v>44314.629413521732</v>
          </cell>
          <cell r="V22">
            <v>5018.0186018120748</v>
          </cell>
          <cell r="W22">
            <v>87.058926933245857</v>
          </cell>
          <cell r="X22">
            <v>1.7655574710289067E-2</v>
          </cell>
          <cell r="Y22">
            <v>66167.629413521732</v>
          </cell>
          <cell r="Z22">
            <v>16900</v>
          </cell>
          <cell r="AA22">
            <v>17750</v>
          </cell>
        </row>
        <row r="23">
          <cell r="C23">
            <v>2233</v>
          </cell>
          <cell r="D23" t="str">
            <v>Bradway Primary School</v>
          </cell>
          <cell r="E23">
            <v>413</v>
          </cell>
          <cell r="F23">
            <v>414</v>
          </cell>
          <cell r="G23">
            <v>1</v>
          </cell>
          <cell r="I23">
            <v>1786395</v>
          </cell>
          <cell r="J23">
            <v>4325.4116222760294</v>
          </cell>
          <cell r="K23">
            <v>49011</v>
          </cell>
          <cell r="L23">
            <v>118.67070217917676</v>
          </cell>
          <cell r="M23">
            <v>1835406</v>
          </cell>
          <cell r="N23">
            <v>4444.0823244552057</v>
          </cell>
          <cell r="O23">
            <v>1848619.9999999995</v>
          </cell>
          <cell r="P23">
            <v>60952.000000000015</v>
          </cell>
          <cell r="Q23">
            <v>1909571.9999999995</v>
          </cell>
          <cell r="R23">
            <v>4465.2657004830908</v>
          </cell>
          <cell r="S23">
            <v>21.18337602788506</v>
          </cell>
          <cell r="T23">
            <v>5.0000000000000001E-3</v>
          </cell>
          <cell r="U23">
            <v>13213.999999999534</v>
          </cell>
          <cell r="V23">
            <v>4612.4927536231871</v>
          </cell>
          <cell r="W23">
            <v>168.41042916798142</v>
          </cell>
          <cell r="X23">
            <v>3.7895434168993852E-2</v>
          </cell>
          <cell r="Y23">
            <v>74165.999999999534</v>
          </cell>
          <cell r="Z23">
            <v>108905</v>
          </cell>
          <cell r="AA23">
            <v>114390</v>
          </cell>
        </row>
        <row r="24">
          <cell r="C24">
            <v>2014</v>
          </cell>
          <cell r="D24" t="str">
            <v>Brightside Nursery and Infant School</v>
          </cell>
          <cell r="E24">
            <v>171</v>
          </cell>
          <cell r="F24">
            <v>173</v>
          </cell>
          <cell r="G24">
            <v>2</v>
          </cell>
          <cell r="I24">
            <v>912622.76588122279</v>
          </cell>
          <cell r="J24">
            <v>5336.9752390714784</v>
          </cell>
          <cell r="K24">
            <v>25282</v>
          </cell>
          <cell r="L24">
            <v>147.84795321637426</v>
          </cell>
          <cell r="M24">
            <v>937904.76588122279</v>
          </cell>
          <cell r="N24">
            <v>5484.8231922878522</v>
          </cell>
          <cell r="O24">
            <v>968302.11762560031</v>
          </cell>
          <cell r="P24">
            <v>31440.999999999996</v>
          </cell>
          <cell r="Q24">
            <v>999743.11762560031</v>
          </cell>
          <cell r="R24">
            <v>5597.1220672000018</v>
          </cell>
          <cell r="S24">
            <v>112.29887491214959</v>
          </cell>
          <cell r="T24">
            <v>0.02</v>
          </cell>
          <cell r="U24">
            <v>30397.35174437752</v>
          </cell>
          <cell r="V24">
            <v>5778.861951593065</v>
          </cell>
          <cell r="W24">
            <v>294.03875930521281</v>
          </cell>
          <cell r="X24">
            <v>5.3609523770731096E-2</v>
          </cell>
          <cell r="Y24">
            <v>61838.35174437752</v>
          </cell>
          <cell r="Z24">
            <v>87560</v>
          </cell>
          <cell r="AA24">
            <v>91980</v>
          </cell>
        </row>
        <row r="25">
          <cell r="C25">
            <v>2246</v>
          </cell>
          <cell r="D25" t="str">
            <v>Brook House Junior</v>
          </cell>
          <cell r="E25">
            <v>339</v>
          </cell>
          <cell r="F25">
            <v>340</v>
          </cell>
          <cell r="G25">
            <v>1</v>
          </cell>
          <cell r="I25">
            <v>1468663.9999999995</v>
          </cell>
          <cell r="J25">
            <v>4332.342182890854</v>
          </cell>
          <cell r="K25">
            <v>41068</v>
          </cell>
          <cell r="L25">
            <v>121.14454277286136</v>
          </cell>
          <cell r="M25">
            <v>1509731.9999999995</v>
          </cell>
          <cell r="N25">
            <v>4453.4867256637153</v>
          </cell>
          <cell r="O25">
            <v>1520699.8325663707</v>
          </cell>
          <cell r="P25">
            <v>51522.000000000007</v>
          </cell>
          <cell r="Q25">
            <v>1572221.8325663707</v>
          </cell>
          <cell r="R25">
            <v>4472.646566371679</v>
          </cell>
          <cell r="S25">
            <v>19.159840707963667</v>
          </cell>
          <cell r="T25">
            <v>4.0000000000000001E-3</v>
          </cell>
          <cell r="U25">
            <v>10967.832566371188</v>
          </cell>
          <cell r="V25">
            <v>4624.181860489326</v>
          </cell>
          <cell r="W25">
            <v>170.69513482561069</v>
          </cell>
          <cell r="X25">
            <v>3.8328425645003251E-2</v>
          </cell>
          <cell r="Y25">
            <v>62489.832566371188</v>
          </cell>
          <cell r="Z25">
            <v>72020</v>
          </cell>
          <cell r="AA25">
            <v>75660</v>
          </cell>
        </row>
        <row r="26">
          <cell r="C26">
            <v>5204</v>
          </cell>
          <cell r="D26" t="str">
            <v>Broomhill Infant School</v>
          </cell>
          <cell r="E26">
            <v>112</v>
          </cell>
          <cell r="F26">
            <v>119</v>
          </cell>
          <cell r="G26">
            <v>7</v>
          </cell>
          <cell r="I26">
            <v>604078.7788018646</v>
          </cell>
          <cell r="J26">
            <v>5393.5605250166482</v>
          </cell>
          <cell r="K26">
            <v>15564</v>
          </cell>
          <cell r="L26">
            <v>138.96428571428572</v>
          </cell>
          <cell r="M26">
            <v>619642.7788018646</v>
          </cell>
          <cell r="N26">
            <v>5532.5248107309335</v>
          </cell>
          <cell r="O26">
            <v>652876.80873936624</v>
          </cell>
          <cell r="P26">
            <v>19919.000000000004</v>
          </cell>
          <cell r="Q26">
            <v>672795.80873936624</v>
          </cell>
          <cell r="R26">
            <v>5486.3597373055991</v>
          </cell>
          <cell r="S26">
            <v>-46.165073425334413</v>
          </cell>
          <cell r="T26">
            <v>-8.0000000000000002E-3</v>
          </cell>
          <cell r="U26">
            <v>33234.029937501648</v>
          </cell>
          <cell r="V26">
            <v>5653.7462919274476</v>
          </cell>
          <cell r="W26">
            <v>121.22148119651411</v>
          </cell>
          <cell r="X26">
            <v>2.1910698161062354E-2</v>
          </cell>
          <cell r="Y26">
            <v>53153.029937501648</v>
          </cell>
          <cell r="Z26">
            <v>23850</v>
          </cell>
          <cell r="AA26">
            <v>25050</v>
          </cell>
        </row>
        <row r="27">
          <cell r="C27">
            <v>2325</v>
          </cell>
          <cell r="D27" t="str">
            <v>Brunswick Community Primary School</v>
          </cell>
          <cell r="E27">
            <v>413</v>
          </cell>
          <cell r="F27">
            <v>417</v>
          </cell>
          <cell r="G27">
            <v>4</v>
          </cell>
          <cell r="I27">
            <v>1936730.1477011365</v>
          </cell>
          <cell r="J27">
            <v>4689.4192438284181</v>
          </cell>
          <cell r="K27">
            <v>56916</v>
          </cell>
          <cell r="L27">
            <v>137.81113801452784</v>
          </cell>
          <cell r="M27">
            <v>1993646.1477011365</v>
          </cell>
          <cell r="N27">
            <v>4827.2303818429455</v>
          </cell>
          <cell r="O27">
            <v>2021451.2792386082</v>
          </cell>
          <cell r="P27">
            <v>69421.000000000015</v>
          </cell>
          <cell r="Q27">
            <v>2090872.2792386082</v>
          </cell>
          <cell r="R27">
            <v>4847.6049861837128</v>
          </cell>
          <cell r="S27">
            <v>20.374604340767291</v>
          </cell>
          <cell r="T27">
            <v>4.0000000000000001E-3</v>
          </cell>
          <cell r="U27">
            <v>27805.131537471665</v>
          </cell>
          <cell r="V27">
            <v>5014.0822044091328</v>
          </cell>
          <cell r="W27">
            <v>186.85182256618737</v>
          </cell>
          <cell r="X27">
            <v>3.8707873415159202E-2</v>
          </cell>
          <cell r="Y27">
            <v>97226.131537471665</v>
          </cell>
          <cell r="Z27">
            <v>223195</v>
          </cell>
          <cell r="AA27">
            <v>234460</v>
          </cell>
        </row>
        <row r="28">
          <cell r="C28">
            <v>2095</v>
          </cell>
          <cell r="D28" t="str">
            <v>Byron Wood Primary Academy</v>
          </cell>
          <cell r="E28">
            <v>395</v>
          </cell>
          <cell r="F28">
            <v>395</v>
          </cell>
          <cell r="G28">
            <v>0</v>
          </cell>
          <cell r="I28">
            <v>2019788.8188171724</v>
          </cell>
          <cell r="J28">
            <v>5113.3894147270184</v>
          </cell>
          <cell r="K28">
            <v>59250</v>
          </cell>
          <cell r="L28">
            <v>150</v>
          </cell>
          <cell r="M28">
            <v>2079038.8188171724</v>
          </cell>
          <cell r="N28">
            <v>5263.3894147270184</v>
          </cell>
          <cell r="O28">
            <v>2104557.3569152439</v>
          </cell>
          <cell r="P28">
            <v>71275</v>
          </cell>
          <cell r="Q28">
            <v>2175832.3569152439</v>
          </cell>
          <cell r="R28">
            <v>5327.993308646187</v>
          </cell>
          <cell r="S28">
            <v>64.603893919168513</v>
          </cell>
          <cell r="T28">
            <v>1.2E-2</v>
          </cell>
          <cell r="U28">
            <v>25518.538098071469</v>
          </cell>
          <cell r="V28">
            <v>5508.4363466208706</v>
          </cell>
          <cell r="W28">
            <v>245.04693189385216</v>
          </cell>
          <cell r="X28">
            <v>4.6556869079116263E-2</v>
          </cell>
          <cell r="Y28">
            <v>96793.538098071469</v>
          </cell>
          <cell r="Z28">
            <v>280435</v>
          </cell>
          <cell r="AA28">
            <v>294605</v>
          </cell>
        </row>
        <row r="29">
          <cell r="C29">
            <v>2344</v>
          </cell>
          <cell r="D29" t="str">
            <v>Carfield Primary School</v>
          </cell>
          <cell r="E29">
            <v>550</v>
          </cell>
          <cell r="F29">
            <v>570</v>
          </cell>
          <cell r="G29">
            <v>20</v>
          </cell>
          <cell r="I29">
            <v>2388290.0936125033</v>
          </cell>
          <cell r="J29">
            <v>4342.3456247500062</v>
          </cell>
          <cell r="K29">
            <v>70120</v>
          </cell>
          <cell r="L29">
            <v>127.49090909090908</v>
          </cell>
          <cell r="M29">
            <v>2458410.0936125033</v>
          </cell>
          <cell r="N29">
            <v>4469.8365338409149</v>
          </cell>
          <cell r="O29">
            <v>2553919.8569562212</v>
          </cell>
          <cell r="P29">
            <v>87524</v>
          </cell>
          <cell r="Q29">
            <v>2641443.8569562212</v>
          </cell>
          <cell r="R29">
            <v>4480.5611525547738</v>
          </cell>
          <cell r="S29">
            <v>10.724618713858945</v>
          </cell>
          <cell r="T29">
            <v>2E-3</v>
          </cell>
          <cell r="U29">
            <v>95509.763343717903</v>
          </cell>
          <cell r="V29">
            <v>4634.1120297477564</v>
          </cell>
          <cell r="W29">
            <v>164.27549590684157</v>
          </cell>
          <cell r="X29">
            <v>3.6752014232090992E-2</v>
          </cell>
          <cell r="Y29">
            <v>183033.7633437179</v>
          </cell>
          <cell r="Z29">
            <v>221545</v>
          </cell>
          <cell r="AA29">
            <v>232735</v>
          </cell>
        </row>
        <row r="30">
          <cell r="C30">
            <v>2023</v>
          </cell>
          <cell r="D30" t="str">
            <v>Carter Knowle Junior School</v>
          </cell>
          <cell r="E30">
            <v>223</v>
          </cell>
          <cell r="F30">
            <v>236</v>
          </cell>
          <cell r="G30">
            <v>13</v>
          </cell>
          <cell r="I30">
            <v>989635.71501603071</v>
          </cell>
          <cell r="J30">
            <v>4437.8283184575366</v>
          </cell>
          <cell r="K30">
            <v>27861</v>
          </cell>
          <cell r="L30">
            <v>124.93721973094171</v>
          </cell>
          <cell r="M30">
            <v>1017496.7150160307</v>
          </cell>
          <cell r="N30">
            <v>4562.7655381884788</v>
          </cell>
          <cell r="O30">
            <v>1073009.4430829692</v>
          </cell>
          <cell r="P30">
            <v>35922</v>
          </cell>
          <cell r="Q30">
            <v>1108931.4430829692</v>
          </cell>
          <cell r="R30">
            <v>4546.650182554954</v>
          </cell>
          <cell r="S30">
            <v>-16.115355633524814</v>
          </cell>
          <cell r="T30">
            <v>-4.0000000000000001E-3</v>
          </cell>
          <cell r="U30">
            <v>55512.728066938464</v>
          </cell>
          <cell r="V30">
            <v>4698.8620469617335</v>
          </cell>
          <cell r="W30">
            <v>136.09650877325475</v>
          </cell>
          <cell r="X30">
            <v>2.9827635813013557E-2</v>
          </cell>
          <cell r="Y30">
            <v>91434.728066938464</v>
          </cell>
          <cell r="Z30">
            <v>41870</v>
          </cell>
          <cell r="AA30">
            <v>43985</v>
          </cell>
        </row>
        <row r="31">
          <cell r="C31">
            <v>2354</v>
          </cell>
          <cell r="D31" t="str">
            <v>Charnock Hall Primary Academy</v>
          </cell>
          <cell r="E31">
            <v>401</v>
          </cell>
          <cell r="F31">
            <v>407</v>
          </cell>
          <cell r="G31">
            <v>6</v>
          </cell>
          <cell r="I31">
            <v>1737328.1265131421</v>
          </cell>
          <cell r="J31">
            <v>4332.489093548983</v>
          </cell>
          <cell r="K31">
            <v>49547</v>
          </cell>
          <cell r="L31">
            <v>123.55860349127182</v>
          </cell>
          <cell r="M31">
            <v>1786875.1265131421</v>
          </cell>
          <cell r="N31">
            <v>4456.0476970402551</v>
          </cell>
          <cell r="O31">
            <v>1839606.8937538683</v>
          </cell>
          <cell r="P31">
            <v>62719</v>
          </cell>
          <cell r="Q31">
            <v>1902325.8937538683</v>
          </cell>
          <cell r="R31">
            <v>4519.9186578719118</v>
          </cell>
          <cell r="S31">
            <v>63.870960831656703</v>
          </cell>
          <cell r="T31">
            <v>1.4E-2</v>
          </cell>
          <cell r="U31">
            <v>52731.767240726156</v>
          </cell>
          <cell r="V31">
            <v>4674.019394972649</v>
          </cell>
          <cell r="W31">
            <v>217.97169793239391</v>
          </cell>
          <cell r="X31">
            <v>4.8915925670448404E-2</v>
          </cell>
          <cell r="Y31">
            <v>115450.76724072616</v>
          </cell>
          <cell r="Z31">
            <v>116965</v>
          </cell>
          <cell r="AA31">
            <v>122870</v>
          </cell>
        </row>
        <row r="32">
          <cell r="C32">
            <v>5200</v>
          </cell>
          <cell r="D32" t="str">
            <v>Clifford All Saints CofE Primary School</v>
          </cell>
          <cell r="E32">
            <v>191</v>
          </cell>
          <cell r="F32">
            <v>184</v>
          </cell>
          <cell r="G32">
            <v>-7</v>
          </cell>
          <cell r="I32">
            <v>938481.51565475482</v>
          </cell>
          <cell r="J32">
            <v>4913.5157887683499</v>
          </cell>
          <cell r="K32">
            <v>24417</v>
          </cell>
          <cell r="L32">
            <v>127.83769633507853</v>
          </cell>
          <cell r="M32">
            <v>962898.51565475482</v>
          </cell>
          <cell r="N32">
            <v>5041.3534851034283</v>
          </cell>
          <cell r="O32">
            <v>936944.07096794399</v>
          </cell>
          <cell r="P32">
            <v>28902.000000000007</v>
          </cell>
          <cell r="Q32">
            <v>965846.07096794399</v>
          </cell>
          <cell r="R32">
            <v>5092.0873422170871</v>
          </cell>
          <cell r="S32">
            <v>50.733857113658814</v>
          </cell>
          <cell r="T32">
            <v>0.01</v>
          </cell>
          <cell r="U32">
            <v>-25954.444686810835</v>
          </cell>
          <cell r="V32">
            <v>5249.1634291736091</v>
          </cell>
          <cell r="W32">
            <v>207.80994407018079</v>
          </cell>
          <cell r="X32">
            <v>4.1221061900188767E-2</v>
          </cell>
          <cell r="Y32">
            <v>2947.5553131891647</v>
          </cell>
          <cell r="Z32">
            <v>38060</v>
          </cell>
          <cell r="AA32">
            <v>39980</v>
          </cell>
        </row>
        <row r="33">
          <cell r="C33">
            <v>2312</v>
          </cell>
          <cell r="D33" t="str">
            <v>Coit Primary School</v>
          </cell>
          <cell r="E33">
            <v>201</v>
          </cell>
          <cell r="F33">
            <v>205</v>
          </cell>
          <cell r="G33">
            <v>4</v>
          </cell>
          <cell r="I33">
            <v>902822.52562095353</v>
          </cell>
          <cell r="J33">
            <v>4491.6543563231517</v>
          </cell>
          <cell r="K33">
            <v>25557</v>
          </cell>
          <cell r="L33">
            <v>127.14925373134328</v>
          </cell>
          <cell r="M33">
            <v>928379.52562095353</v>
          </cell>
          <cell r="N33">
            <v>4618.803610054495</v>
          </cell>
          <cell r="O33">
            <v>958398.96124488336</v>
          </cell>
          <cell r="P33">
            <v>32024.999999999996</v>
          </cell>
          <cell r="Q33">
            <v>990423.96124488336</v>
          </cell>
          <cell r="R33">
            <v>4675.1168841213821</v>
          </cell>
          <cell r="S33">
            <v>56.313274066887061</v>
          </cell>
          <cell r="T33">
            <v>1.2E-2</v>
          </cell>
          <cell r="U33">
            <v>30019.435623929836</v>
          </cell>
          <cell r="V33">
            <v>4831.3363963165039</v>
          </cell>
          <cell r="W33">
            <v>212.53278626200881</v>
          </cell>
          <cell r="X33">
            <v>4.6014683499284191E-2</v>
          </cell>
          <cell r="Y33">
            <v>62044.435623929836</v>
          </cell>
          <cell r="Z33">
            <v>43560</v>
          </cell>
          <cell r="AA33">
            <v>45755</v>
          </cell>
        </row>
        <row r="34">
          <cell r="C34">
            <v>2026</v>
          </cell>
          <cell r="D34" t="str">
            <v>Concord Junior School</v>
          </cell>
          <cell r="E34">
            <v>190</v>
          </cell>
          <cell r="F34">
            <v>198</v>
          </cell>
          <cell r="G34">
            <v>8</v>
          </cell>
          <cell r="I34">
            <v>1015832.3793844078</v>
          </cell>
          <cell r="J34">
            <v>5346.4862072863571</v>
          </cell>
          <cell r="K34">
            <v>30780</v>
          </cell>
          <cell r="L34">
            <v>162</v>
          </cell>
          <cell r="M34">
            <v>1046612.3793844078</v>
          </cell>
          <cell r="N34">
            <v>5508.4862072863571</v>
          </cell>
          <cell r="O34">
            <v>1090811.560281913</v>
          </cell>
          <cell r="P34">
            <v>38264</v>
          </cell>
          <cell r="Q34">
            <v>1129075.560281913</v>
          </cell>
          <cell r="R34">
            <v>5509.1492943530957</v>
          </cell>
          <cell r="S34">
            <v>0.66308706673862616</v>
          </cell>
          <cell r="T34">
            <v>0</v>
          </cell>
          <cell r="U34">
            <v>44199.180897505255</v>
          </cell>
          <cell r="V34">
            <v>5702.4018196056213</v>
          </cell>
          <cell r="W34">
            <v>193.91561231926426</v>
          </cell>
          <cell r="X34">
            <v>3.5203067598274483E-2</v>
          </cell>
          <cell r="Y34">
            <v>82463.180897505255</v>
          </cell>
          <cell r="Z34">
            <v>141270</v>
          </cell>
          <cell r="AA34">
            <v>148410</v>
          </cell>
        </row>
        <row r="35">
          <cell r="C35">
            <v>3422</v>
          </cell>
          <cell r="D35" t="str">
            <v>Deepcar St John's Church of England Junior School</v>
          </cell>
          <cell r="E35">
            <v>166</v>
          </cell>
          <cell r="F35">
            <v>175</v>
          </cell>
          <cell r="G35">
            <v>9</v>
          </cell>
          <cell r="I35">
            <v>790156.98429741466</v>
          </cell>
          <cell r="J35">
            <v>4759.9818331169554</v>
          </cell>
          <cell r="K35">
            <v>23012</v>
          </cell>
          <cell r="L35">
            <v>138.62650602409639</v>
          </cell>
          <cell r="M35">
            <v>813168.98429741466</v>
          </cell>
          <cell r="N35">
            <v>4898.6083391410521</v>
          </cell>
          <cell r="O35">
            <v>853733.55369462527</v>
          </cell>
          <cell r="P35">
            <v>29286.999999999996</v>
          </cell>
          <cell r="Q35">
            <v>883020.55369462527</v>
          </cell>
          <cell r="R35">
            <v>4878.4774496835726</v>
          </cell>
          <cell r="S35">
            <v>-20.130889457479498</v>
          </cell>
          <cell r="T35">
            <v>-4.0000000000000001E-3</v>
          </cell>
          <cell r="U35">
            <v>40564.569397210609</v>
          </cell>
          <cell r="V35">
            <v>5045.8317353978591</v>
          </cell>
          <cell r="W35">
            <v>147.22339625680706</v>
          </cell>
          <cell r="X35">
            <v>3.0054126818112183E-2</v>
          </cell>
          <cell r="Y35">
            <v>69851.569397210609</v>
          </cell>
          <cell r="Z35">
            <v>50500</v>
          </cell>
          <cell r="AA35">
            <v>53050</v>
          </cell>
        </row>
        <row r="36">
          <cell r="C36">
            <v>2283</v>
          </cell>
          <cell r="D36" t="str">
            <v>Dobcroft Infant School</v>
          </cell>
          <cell r="E36">
            <v>270</v>
          </cell>
          <cell r="F36">
            <v>269</v>
          </cell>
          <cell r="G36">
            <v>-1</v>
          </cell>
          <cell r="I36">
            <v>1186275.9679441454</v>
          </cell>
          <cell r="J36">
            <v>4393.6146960894275</v>
          </cell>
          <cell r="K36">
            <v>30465</v>
          </cell>
          <cell r="L36">
            <v>112.83333333333333</v>
          </cell>
          <cell r="M36">
            <v>1216740.9679441454</v>
          </cell>
          <cell r="N36">
            <v>4506.4480294227606</v>
          </cell>
          <cell r="O36">
            <v>1212165.0269142969</v>
          </cell>
          <cell r="P36">
            <v>37145</v>
          </cell>
          <cell r="Q36">
            <v>1249310.0269142969</v>
          </cell>
          <cell r="R36">
            <v>4506.1896911312151</v>
          </cell>
          <cell r="S36">
            <v>-0.25833829154544219</v>
          </cell>
          <cell r="T36">
            <v>0</v>
          </cell>
          <cell r="U36">
            <v>-4575.9410298485309</v>
          </cell>
          <cell r="V36">
            <v>4644.2751929899514</v>
          </cell>
          <cell r="W36">
            <v>137.82716356719084</v>
          </cell>
          <cell r="X36">
            <v>3.0584434274469018E-2</v>
          </cell>
          <cell r="Y36">
            <v>32569.058970151469</v>
          </cell>
          <cell r="Z36">
            <v>19335</v>
          </cell>
          <cell r="AA36">
            <v>20305</v>
          </cell>
        </row>
        <row r="37">
          <cell r="C37">
            <v>2239</v>
          </cell>
          <cell r="D37" t="str">
            <v>Dobcroft Junior School</v>
          </cell>
          <cell r="E37">
            <v>419</v>
          </cell>
          <cell r="F37">
            <v>382</v>
          </cell>
          <cell r="G37">
            <v>-37</v>
          </cell>
          <cell r="I37">
            <v>1808320</v>
          </cell>
          <cell r="J37">
            <v>4315.7995226730309</v>
          </cell>
          <cell r="K37">
            <v>46533</v>
          </cell>
          <cell r="L37">
            <v>111.05727923627686</v>
          </cell>
          <cell r="M37">
            <v>1854853</v>
          </cell>
          <cell r="N37">
            <v>4426.8568019093082</v>
          </cell>
          <cell r="O37">
            <v>1717479.4624486878</v>
          </cell>
          <cell r="P37">
            <v>52152</v>
          </cell>
          <cell r="Q37">
            <v>1769631.4624486878</v>
          </cell>
          <cell r="R37">
            <v>4496.0195352059891</v>
          </cell>
          <cell r="S37">
            <v>69.162733296680926</v>
          </cell>
          <cell r="T37">
            <v>1.6E-2</v>
          </cell>
          <cell r="U37">
            <v>-137373.53755131224</v>
          </cell>
          <cell r="V37">
            <v>4632.5430954154126</v>
          </cell>
          <cell r="W37">
            <v>205.68629350610445</v>
          </cell>
          <cell r="X37">
            <v>4.646328144551496E-2</v>
          </cell>
          <cell r="Y37">
            <v>-85221.537551312242</v>
          </cell>
          <cell r="Z37">
            <v>50750</v>
          </cell>
          <cell r="AA37">
            <v>53300</v>
          </cell>
        </row>
        <row r="38">
          <cell r="C38">
            <v>2364</v>
          </cell>
          <cell r="D38" t="str">
            <v>Dore Primary School</v>
          </cell>
          <cell r="E38">
            <v>446</v>
          </cell>
          <cell r="F38">
            <v>448</v>
          </cell>
          <cell r="G38">
            <v>2</v>
          </cell>
          <cell r="I38">
            <v>1932988.0000000005</v>
          </cell>
          <cell r="J38">
            <v>4334.0538116591943</v>
          </cell>
          <cell r="K38">
            <v>49577</v>
          </cell>
          <cell r="L38">
            <v>111.15919282511211</v>
          </cell>
          <cell r="M38">
            <v>1982565.0000000005</v>
          </cell>
          <cell r="N38">
            <v>4445.2130044843061</v>
          </cell>
          <cell r="O38">
            <v>2003648</v>
          </cell>
          <cell r="P38">
            <v>61254</v>
          </cell>
          <cell r="Q38">
            <v>2064902</v>
          </cell>
          <cell r="R38">
            <v>4472.4285714285716</v>
          </cell>
          <cell r="S38">
            <v>27.215566944265447</v>
          </cell>
          <cell r="T38">
            <v>6.0000000000000001E-3</v>
          </cell>
          <cell r="U38">
            <v>21082.999999999534</v>
          </cell>
          <cell r="V38">
            <v>4609.15625</v>
          </cell>
          <cell r="W38">
            <v>163.94324551569389</v>
          </cell>
          <cell r="X38">
            <v>3.6880852582386686E-2</v>
          </cell>
          <cell r="Y38">
            <v>82336.999999999534</v>
          </cell>
          <cell r="Z38">
            <v>47010</v>
          </cell>
          <cell r="AA38">
            <v>49380</v>
          </cell>
        </row>
        <row r="39">
          <cell r="C39">
            <v>2016</v>
          </cell>
          <cell r="D39" t="str">
            <v>E-ACT Pathways Academy</v>
          </cell>
          <cell r="E39">
            <v>350</v>
          </cell>
          <cell r="F39">
            <v>365</v>
          </cell>
          <cell r="G39">
            <v>15</v>
          </cell>
          <cell r="I39">
            <v>1816031.3713441554</v>
          </cell>
          <cell r="J39">
            <v>5188.6610609833015</v>
          </cell>
          <cell r="K39">
            <v>55140</v>
          </cell>
          <cell r="L39">
            <v>157.54285714285714</v>
          </cell>
          <cell r="M39">
            <v>1871171.3713441554</v>
          </cell>
          <cell r="N39">
            <v>5346.203918126158</v>
          </cell>
          <cell r="O39">
            <v>1998946.3811137737</v>
          </cell>
          <cell r="P39">
            <v>70721</v>
          </cell>
          <cell r="Q39">
            <v>2069667.3811137737</v>
          </cell>
          <cell r="R39">
            <v>5476.5654277089689</v>
          </cell>
          <cell r="S39">
            <v>130.36150958281087</v>
          </cell>
          <cell r="T39">
            <v>2.4E-2</v>
          </cell>
          <cell r="U39">
            <v>127775.00976961828</v>
          </cell>
          <cell r="V39">
            <v>5670.3215920925304</v>
          </cell>
          <cell r="W39">
            <v>324.11767396637242</v>
          </cell>
          <cell r="X39">
            <v>6.0625759684822408E-2</v>
          </cell>
          <cell r="Y39">
            <v>198496.00976961828</v>
          </cell>
          <cell r="Z39">
            <v>288635</v>
          </cell>
          <cell r="AA39">
            <v>303205</v>
          </cell>
        </row>
        <row r="40">
          <cell r="C40">
            <v>2206</v>
          </cell>
          <cell r="D40" t="str">
            <v>Ecclesall Primary School</v>
          </cell>
          <cell r="E40">
            <v>601</v>
          </cell>
          <cell r="F40">
            <v>620</v>
          </cell>
          <cell r="G40">
            <v>19</v>
          </cell>
          <cell r="I40">
            <v>2625382.9999999991</v>
          </cell>
          <cell r="J40">
            <v>4368.3577371048241</v>
          </cell>
          <cell r="K40">
            <v>64527</v>
          </cell>
          <cell r="L40">
            <v>107.36605657237936</v>
          </cell>
          <cell r="M40">
            <v>2689909.9999999991</v>
          </cell>
          <cell r="N40">
            <v>4475.7237936772035</v>
          </cell>
          <cell r="O40">
            <v>2792028</v>
          </cell>
          <cell r="P40">
            <v>81618</v>
          </cell>
          <cell r="Q40">
            <v>2873646</v>
          </cell>
          <cell r="R40">
            <v>4503.2709677419352</v>
          </cell>
          <cell r="S40">
            <v>27.547174064731735</v>
          </cell>
          <cell r="T40">
            <v>6.0000000000000001E-3</v>
          </cell>
          <cell r="U40">
            <v>102118.00000000093</v>
          </cell>
          <cell r="V40">
            <v>4634.9129032258061</v>
          </cell>
          <cell r="W40">
            <v>159.18910954860257</v>
          </cell>
          <cell r="X40">
            <v>3.556723267273261E-2</v>
          </cell>
          <cell r="Y40">
            <v>183736.00000000093</v>
          </cell>
          <cell r="Z40">
            <v>54625</v>
          </cell>
          <cell r="AA40">
            <v>57375</v>
          </cell>
        </row>
        <row r="41">
          <cell r="C41">
            <v>2080</v>
          </cell>
          <cell r="D41" t="str">
            <v>Ecclesfield Primary School</v>
          </cell>
          <cell r="E41">
            <v>392</v>
          </cell>
          <cell r="F41">
            <v>395</v>
          </cell>
          <cell r="G41">
            <v>3</v>
          </cell>
          <cell r="I41">
            <v>1763532.5320231398</v>
          </cell>
          <cell r="J41">
            <v>4498.8074796508663</v>
          </cell>
          <cell r="K41">
            <v>51394</v>
          </cell>
          <cell r="L41">
            <v>131.10714285714286</v>
          </cell>
          <cell r="M41">
            <v>1814926.5320231398</v>
          </cell>
          <cell r="N41">
            <v>4629.9146225080094</v>
          </cell>
          <cell r="O41">
            <v>1851897.9698852601</v>
          </cell>
          <cell r="P41">
            <v>63891</v>
          </cell>
          <cell r="Q41">
            <v>1915788.9698852601</v>
          </cell>
          <cell r="R41">
            <v>4688.3492908487597</v>
          </cell>
          <cell r="S41">
            <v>58.43466834075025</v>
          </cell>
          <cell r="T41">
            <v>1.2999999999999999E-2</v>
          </cell>
          <cell r="U41">
            <v>36971.437862120336</v>
          </cell>
          <cell r="V41">
            <v>4850.0986579373675</v>
          </cell>
          <cell r="W41">
            <v>220.18403542935812</v>
          </cell>
          <cell r="X41">
            <v>4.7556824127803279E-2</v>
          </cell>
          <cell r="Y41">
            <v>100862.43786212034</v>
          </cell>
          <cell r="Z41">
            <v>163655</v>
          </cell>
          <cell r="AA41">
            <v>171915</v>
          </cell>
        </row>
        <row r="42">
          <cell r="C42">
            <v>2024</v>
          </cell>
          <cell r="D42" t="str">
            <v>Emmanuel Anglican/Methodist Junior School</v>
          </cell>
          <cell r="E42">
            <v>187</v>
          </cell>
          <cell r="F42">
            <v>173</v>
          </cell>
          <cell r="G42">
            <v>-14</v>
          </cell>
          <cell r="I42">
            <v>927699.4782004396</v>
          </cell>
          <cell r="J42">
            <v>4960.9597764729388</v>
          </cell>
          <cell r="K42">
            <v>27599</v>
          </cell>
          <cell r="L42">
            <v>147.58823529411765</v>
          </cell>
          <cell r="M42">
            <v>955298.4782004396</v>
          </cell>
          <cell r="N42">
            <v>5108.5480117670568</v>
          </cell>
          <cell r="O42">
            <v>906670.32685777638</v>
          </cell>
          <cell r="P42">
            <v>32376.999999999993</v>
          </cell>
          <cell r="Q42">
            <v>939047.32685777638</v>
          </cell>
          <cell r="R42">
            <v>5240.8689413744296</v>
          </cell>
          <cell r="S42">
            <v>132.32092960737282</v>
          </cell>
          <cell r="T42">
            <v>2.5999999999999999E-2</v>
          </cell>
          <cell r="U42">
            <v>-48628.151342663215</v>
          </cell>
          <cell r="V42">
            <v>5428.0192303917711</v>
          </cell>
          <cell r="W42">
            <v>319.47121862471431</v>
          </cell>
          <cell r="X42">
            <v>6.2536599027520651E-2</v>
          </cell>
          <cell r="Y42">
            <v>-16251.151342663215</v>
          </cell>
          <cell r="Z42">
            <v>94500</v>
          </cell>
          <cell r="AA42">
            <v>99275</v>
          </cell>
        </row>
        <row r="43">
          <cell r="C43">
            <v>2028</v>
          </cell>
          <cell r="D43" t="str">
            <v>Emmaus Catholic and CofE Primary School</v>
          </cell>
          <cell r="E43">
            <v>296</v>
          </cell>
          <cell r="F43">
            <v>293</v>
          </cell>
          <cell r="G43">
            <v>-3</v>
          </cell>
          <cell r="I43">
            <v>1495032.413994719</v>
          </cell>
          <cell r="J43">
            <v>5050.785182414591</v>
          </cell>
          <cell r="K43">
            <v>44462</v>
          </cell>
          <cell r="L43">
            <v>150.20945945945945</v>
          </cell>
          <cell r="M43">
            <v>1539494.413994719</v>
          </cell>
          <cell r="N43">
            <v>5200.994641874051</v>
          </cell>
          <cell r="O43">
            <v>1588310.6745809547</v>
          </cell>
          <cell r="P43">
            <v>53833.000000000015</v>
          </cell>
          <cell r="Q43">
            <v>1642143.6745809547</v>
          </cell>
          <cell r="R43">
            <v>5420.8555446448963</v>
          </cell>
          <cell r="S43">
            <v>219.86090277084531</v>
          </cell>
          <cell r="T43">
            <v>4.2000000000000003E-2</v>
          </cell>
          <cell r="U43">
            <v>48816.260586235672</v>
          </cell>
          <cell r="V43">
            <v>5604.5859200715176</v>
          </cell>
          <cell r="W43">
            <v>403.59127819746664</v>
          </cell>
          <cell r="X43">
            <v>7.7598864445675028E-2</v>
          </cell>
          <cell r="Y43">
            <v>102649.26058623567</v>
          </cell>
          <cell r="Z43">
            <v>208720</v>
          </cell>
          <cell r="AA43">
            <v>219260</v>
          </cell>
        </row>
        <row r="44">
          <cell r="C44">
            <v>2010</v>
          </cell>
          <cell r="D44" t="str">
            <v>Fox Hill Primary</v>
          </cell>
          <cell r="E44">
            <v>291</v>
          </cell>
          <cell r="F44">
            <v>274</v>
          </cell>
          <cell r="G44">
            <v>-17</v>
          </cell>
          <cell r="I44">
            <v>1592591.5279271819</v>
          </cell>
          <cell r="J44">
            <v>5472.8231200246801</v>
          </cell>
          <cell r="K44">
            <v>45507</v>
          </cell>
          <cell r="L44">
            <v>156.38144329896906</v>
          </cell>
          <cell r="M44">
            <v>1638098.5279271819</v>
          </cell>
          <cell r="N44">
            <v>5629.2045633236494</v>
          </cell>
          <cell r="O44">
            <v>1557417.915365319</v>
          </cell>
          <cell r="P44">
            <v>52716.000000000015</v>
          </cell>
          <cell r="Q44">
            <v>1610133.915365319</v>
          </cell>
          <cell r="R44">
            <v>5684.006990384376</v>
          </cell>
          <cell r="S44">
            <v>54.802427060726586</v>
          </cell>
          <cell r="T44">
            <v>0.01</v>
          </cell>
          <cell r="U44">
            <v>-80680.612561862916</v>
          </cell>
          <cell r="V44">
            <v>5876.4011509683178</v>
          </cell>
          <cell r="W44">
            <v>247.1965876446684</v>
          </cell>
          <cell r="X44">
            <v>4.391323585133957E-2</v>
          </cell>
          <cell r="Y44">
            <v>-27964.612561862916</v>
          </cell>
          <cell r="Z44">
            <v>223650</v>
          </cell>
          <cell r="AA44">
            <v>234950</v>
          </cell>
        </row>
        <row r="45">
          <cell r="C45">
            <v>2036</v>
          </cell>
          <cell r="D45" t="str">
            <v>Gleadless Primary School</v>
          </cell>
          <cell r="E45">
            <v>393</v>
          </cell>
          <cell r="F45">
            <v>398</v>
          </cell>
          <cell r="G45">
            <v>5</v>
          </cell>
          <cell r="I45">
            <v>1790690.8720281909</v>
          </cell>
          <cell r="J45">
            <v>4556.4653232269484</v>
          </cell>
          <cell r="K45">
            <v>52171</v>
          </cell>
          <cell r="L45">
            <v>132.75063613231552</v>
          </cell>
          <cell r="M45">
            <v>1842861.8720281909</v>
          </cell>
          <cell r="N45">
            <v>4689.2159593592642</v>
          </cell>
          <cell r="O45">
            <v>1889374.6076512944</v>
          </cell>
          <cell r="P45">
            <v>64768.000000000015</v>
          </cell>
          <cell r="Q45">
            <v>1954142.6076512944</v>
          </cell>
          <cell r="R45">
            <v>4747.1723810334033</v>
          </cell>
          <cell r="S45">
            <v>57.956421674139165</v>
          </cell>
          <cell r="T45">
            <v>1.2E-2</v>
          </cell>
          <cell r="U45">
            <v>46512.735623103566</v>
          </cell>
          <cell r="V45">
            <v>4909.9060493751113</v>
          </cell>
          <cell r="W45">
            <v>220.69009001584709</v>
          </cell>
          <cell r="X45">
            <v>4.7063324003103119E-2</v>
          </cell>
          <cell r="Y45">
            <v>111280.73562310357</v>
          </cell>
          <cell r="Z45">
            <v>173070</v>
          </cell>
          <cell r="AA45">
            <v>181810</v>
          </cell>
        </row>
        <row r="46">
          <cell r="C46">
            <v>2305</v>
          </cell>
          <cell r="D46" t="str">
            <v>Greengate Lane Academy</v>
          </cell>
          <cell r="E46">
            <v>187</v>
          </cell>
          <cell r="F46">
            <v>190</v>
          </cell>
          <cell r="G46">
            <v>3</v>
          </cell>
          <cell r="I46">
            <v>988790.48329103843</v>
          </cell>
          <cell r="J46">
            <v>5287.6496432675849</v>
          </cell>
          <cell r="K46">
            <v>30404</v>
          </cell>
          <cell r="L46">
            <v>162.58823529411765</v>
          </cell>
          <cell r="M46">
            <v>1019194.4832910384</v>
          </cell>
          <cell r="N46">
            <v>5450.2378785617029</v>
          </cell>
          <cell r="O46">
            <v>1037935.363553068</v>
          </cell>
          <cell r="P46">
            <v>38767.999999999993</v>
          </cell>
          <cell r="Q46">
            <v>1076703.3635530679</v>
          </cell>
          <cell r="R46">
            <v>5462.8177029108847</v>
          </cell>
          <cell r="S46">
            <v>12.579824349181763</v>
          </cell>
          <cell r="T46">
            <v>2E-3</v>
          </cell>
          <cell r="U46">
            <v>18740.88026202959</v>
          </cell>
          <cell r="V46">
            <v>5666.859808174042</v>
          </cell>
          <cell r="W46">
            <v>216.62192961233904</v>
          </cell>
          <cell r="X46">
            <v>3.974540826271325E-2</v>
          </cell>
          <cell r="Y46">
            <v>57508.880262029474</v>
          </cell>
          <cell r="Z46">
            <v>137115</v>
          </cell>
          <cell r="AA46">
            <v>144045</v>
          </cell>
        </row>
        <row r="47">
          <cell r="C47">
            <v>2341</v>
          </cell>
          <cell r="D47" t="str">
            <v>Greenhill Primary School</v>
          </cell>
          <cell r="E47">
            <v>466</v>
          </cell>
          <cell r="F47">
            <v>468</v>
          </cell>
          <cell r="G47">
            <v>2</v>
          </cell>
          <cell r="I47">
            <v>2079917.9738693286</v>
          </cell>
          <cell r="J47">
            <v>4463.3432915650828</v>
          </cell>
          <cell r="K47">
            <v>61717</v>
          </cell>
          <cell r="L47">
            <v>132.43991416309012</v>
          </cell>
          <cell r="M47">
            <v>2141634.9738693284</v>
          </cell>
          <cell r="N47">
            <v>4595.7832057281721</v>
          </cell>
          <cell r="O47">
            <v>2178264.2316005938</v>
          </cell>
          <cell r="P47">
            <v>77881.999999999985</v>
          </cell>
          <cell r="Q47">
            <v>2256146.2316005938</v>
          </cell>
          <cell r="R47">
            <v>4654.4107512833198</v>
          </cell>
          <cell r="S47">
            <v>58.627545555147663</v>
          </cell>
          <cell r="T47">
            <v>1.2999999999999999E-2</v>
          </cell>
          <cell r="U47">
            <v>36629.257731265388</v>
          </cell>
          <cell r="V47">
            <v>4820.82528119785</v>
          </cell>
          <cell r="W47">
            <v>225.04207546967791</v>
          </cell>
          <cell r="X47">
            <v>4.8967078166173302E-2</v>
          </cell>
          <cell r="Y47">
            <v>114511.25773126539</v>
          </cell>
          <cell r="Z47">
            <v>220080</v>
          </cell>
          <cell r="AA47">
            <v>231190</v>
          </cell>
        </row>
        <row r="48">
          <cell r="C48">
            <v>2296</v>
          </cell>
          <cell r="D48" t="str">
            <v>Grenoside Community Primary School</v>
          </cell>
          <cell r="E48">
            <v>314</v>
          </cell>
          <cell r="F48">
            <v>322</v>
          </cell>
          <cell r="G48">
            <v>8</v>
          </cell>
          <cell r="I48">
            <v>1536309.1992256122</v>
          </cell>
          <cell r="J48">
            <v>4892.7044561325229</v>
          </cell>
          <cell r="K48">
            <v>40173</v>
          </cell>
          <cell r="L48">
            <v>127.93949044585987</v>
          </cell>
          <cell r="M48">
            <v>1576482.1992256122</v>
          </cell>
          <cell r="N48">
            <v>5020.6439465783833</v>
          </cell>
          <cell r="O48">
            <v>1657564.0272603859</v>
          </cell>
          <cell r="P48">
            <v>50420.000000000015</v>
          </cell>
          <cell r="Q48">
            <v>1707984.0272603859</v>
          </cell>
          <cell r="R48">
            <v>5147.7143703738693</v>
          </cell>
          <cell r="S48">
            <v>127.07042379548602</v>
          </cell>
          <cell r="T48">
            <v>2.5000000000000001E-2</v>
          </cell>
          <cell r="U48">
            <v>81081.828034773702</v>
          </cell>
          <cell r="V48">
            <v>5304.2982213055466</v>
          </cell>
          <cell r="W48">
            <v>283.65427472716328</v>
          </cell>
          <cell r="X48">
            <v>5.6497588306471398E-2</v>
          </cell>
          <cell r="Y48">
            <v>131501.8280347737</v>
          </cell>
          <cell r="Z48">
            <v>109000</v>
          </cell>
          <cell r="AA48">
            <v>114500</v>
          </cell>
        </row>
        <row r="49">
          <cell r="C49">
            <v>2356</v>
          </cell>
          <cell r="D49" t="str">
            <v>Greystones Primary School</v>
          </cell>
          <cell r="E49">
            <v>625</v>
          </cell>
          <cell r="F49">
            <v>613</v>
          </cell>
          <cell r="G49">
            <v>-12</v>
          </cell>
          <cell r="I49">
            <v>2715737</v>
          </cell>
          <cell r="J49">
            <v>4345.1791999999996</v>
          </cell>
          <cell r="K49">
            <v>67875</v>
          </cell>
          <cell r="L49">
            <v>108.6</v>
          </cell>
          <cell r="M49">
            <v>2783612</v>
          </cell>
          <cell r="N49">
            <v>4453.7791999999999</v>
          </cell>
          <cell r="O49">
            <v>2746856.9999999986</v>
          </cell>
          <cell r="P49">
            <v>82345</v>
          </cell>
          <cell r="Q49">
            <v>2829201.9999999986</v>
          </cell>
          <cell r="R49">
            <v>4481.0065252854793</v>
          </cell>
          <cell r="S49">
            <v>27.22732528547931</v>
          </cell>
          <cell r="T49">
            <v>6.0000000000000001E-3</v>
          </cell>
          <cell r="U49">
            <v>-36755.000000001397</v>
          </cell>
          <cell r="V49">
            <v>4615.3376835236522</v>
          </cell>
          <cell r="W49">
            <v>161.55848352365228</v>
          </cell>
          <cell r="X49">
            <v>3.627447079631884E-2</v>
          </cell>
          <cell r="Y49">
            <v>45589.999999998603</v>
          </cell>
          <cell r="Z49">
            <v>72950</v>
          </cell>
          <cell r="AA49">
            <v>76625</v>
          </cell>
        </row>
        <row r="50">
          <cell r="C50">
            <v>2279</v>
          </cell>
          <cell r="D50" t="str">
            <v>Halfway Junior School</v>
          </cell>
          <cell r="E50">
            <v>211</v>
          </cell>
          <cell r="F50">
            <v>206</v>
          </cell>
          <cell r="G50">
            <v>-5</v>
          </cell>
          <cell r="I50">
            <v>974372.53691869427</v>
          </cell>
          <cell r="J50">
            <v>4617.8793218895462</v>
          </cell>
          <cell r="K50">
            <v>28397</v>
          </cell>
          <cell r="L50">
            <v>134.58293838862559</v>
          </cell>
          <cell r="M50">
            <v>1002769.5369186943</v>
          </cell>
          <cell r="N50">
            <v>4752.4622602781719</v>
          </cell>
          <cell r="O50">
            <v>995592.8064917383</v>
          </cell>
          <cell r="P50">
            <v>35472.000000000007</v>
          </cell>
          <cell r="Q50">
            <v>1031064.8064917383</v>
          </cell>
          <cell r="R50">
            <v>4832.9747887948461</v>
          </cell>
          <cell r="S50">
            <v>80.512528516674138</v>
          </cell>
          <cell r="T50">
            <v>1.7000000000000001E-2</v>
          </cell>
          <cell r="U50">
            <v>-7176.7304269559681</v>
          </cell>
          <cell r="V50">
            <v>5005.1689635521279</v>
          </cell>
          <cell r="W50">
            <v>252.70670327395601</v>
          </cell>
          <cell r="X50">
            <v>5.3173847457163088E-2</v>
          </cell>
          <cell r="Y50">
            <v>28295.269573044032</v>
          </cell>
          <cell r="Z50">
            <v>67865</v>
          </cell>
          <cell r="AA50">
            <v>71295</v>
          </cell>
        </row>
        <row r="51">
          <cell r="C51">
            <v>2252</v>
          </cell>
          <cell r="D51" t="str">
            <v>Halfway Nursery Infant School</v>
          </cell>
          <cell r="E51">
            <v>156</v>
          </cell>
          <cell r="F51">
            <v>157</v>
          </cell>
          <cell r="G51">
            <v>1</v>
          </cell>
          <cell r="I51">
            <v>774318.19140702789</v>
          </cell>
          <cell r="J51">
            <v>4963.5781500450503</v>
          </cell>
          <cell r="K51">
            <v>22892</v>
          </cell>
          <cell r="L51">
            <v>146.74358974358975</v>
          </cell>
          <cell r="M51">
            <v>797210.19140702789</v>
          </cell>
          <cell r="N51">
            <v>5110.3217397886401</v>
          </cell>
          <cell r="O51">
            <v>816088.88059887534</v>
          </cell>
          <cell r="P51">
            <v>28393</v>
          </cell>
          <cell r="Q51">
            <v>844481.88059887534</v>
          </cell>
          <cell r="R51">
            <v>5198.0183477635373</v>
          </cell>
          <cell r="S51">
            <v>87.696607974897233</v>
          </cell>
          <cell r="T51">
            <v>1.7000000000000001E-2</v>
          </cell>
          <cell r="U51">
            <v>18878.689191847458</v>
          </cell>
          <cell r="V51">
            <v>5378.8654815214986</v>
          </cell>
          <cell r="W51">
            <v>268.54374173285851</v>
          </cell>
          <cell r="X51">
            <v>5.2549282688405703E-2</v>
          </cell>
          <cell r="Y51">
            <v>47271.689191847458</v>
          </cell>
          <cell r="Z51">
            <v>71300</v>
          </cell>
          <cell r="AA51">
            <v>74900</v>
          </cell>
        </row>
        <row r="52">
          <cell r="C52">
            <v>2357</v>
          </cell>
          <cell r="D52" t="str">
            <v>Hallam Primary School</v>
          </cell>
          <cell r="E52">
            <v>624</v>
          </cell>
          <cell r="F52">
            <v>633</v>
          </cell>
          <cell r="G52">
            <v>9</v>
          </cell>
          <cell r="I52">
            <v>2669552.0000000014</v>
          </cell>
          <cell r="J52">
            <v>4278.1282051282078</v>
          </cell>
          <cell r="K52">
            <v>68118</v>
          </cell>
          <cell r="L52">
            <v>109.16346153846153</v>
          </cell>
          <cell r="M52">
            <v>2737670.0000000014</v>
          </cell>
          <cell r="N52">
            <v>4387.2916666666688</v>
          </cell>
          <cell r="O52">
            <v>2796557</v>
          </cell>
          <cell r="P52">
            <v>85661</v>
          </cell>
          <cell r="Q52">
            <v>2882218</v>
          </cell>
          <cell r="R52">
            <v>4417.9415481832548</v>
          </cell>
          <cell r="S52">
            <v>30.649881516585992</v>
          </cell>
          <cell r="T52">
            <v>7.0000000000000001E-3</v>
          </cell>
          <cell r="U52">
            <v>58886.999999998603</v>
          </cell>
          <cell r="V52">
            <v>4553.2669826224328</v>
          </cell>
          <cell r="W52">
            <v>165.97531595576402</v>
          </cell>
          <cell r="X52">
            <v>3.7830928182139081E-2</v>
          </cell>
          <cell r="Y52">
            <v>144547.9999999986</v>
          </cell>
          <cell r="Z52">
            <v>71965</v>
          </cell>
          <cell r="AA52">
            <v>75595</v>
          </cell>
        </row>
        <row r="53">
          <cell r="C53">
            <v>2050</v>
          </cell>
          <cell r="D53" t="str">
            <v>Hartley Brook Primary School</v>
          </cell>
          <cell r="E53">
            <v>594</v>
          </cell>
          <cell r="F53">
            <v>570</v>
          </cell>
          <cell r="G53">
            <v>-24</v>
          </cell>
          <cell r="I53">
            <v>2967246.2100933888</v>
          </cell>
          <cell r="J53">
            <v>4995.3639900562102</v>
          </cell>
          <cell r="K53">
            <v>90538</v>
          </cell>
          <cell r="L53">
            <v>152.42087542087543</v>
          </cell>
          <cell r="M53">
            <v>3057784.2100933888</v>
          </cell>
          <cell r="N53">
            <v>5147.7848654770851</v>
          </cell>
          <cell r="O53">
            <v>3013026.4258566876</v>
          </cell>
          <cell r="P53">
            <v>107283.99999999999</v>
          </cell>
          <cell r="Q53">
            <v>3120310.4258566876</v>
          </cell>
          <cell r="R53">
            <v>5286.0112734327849</v>
          </cell>
          <cell r="S53">
            <v>138.22640795569987</v>
          </cell>
          <cell r="T53">
            <v>2.7E-2</v>
          </cell>
          <cell r="U53">
            <v>-44757.784236701205</v>
          </cell>
          <cell r="V53">
            <v>5474.2288172924345</v>
          </cell>
          <cell r="W53">
            <v>326.44395181534946</v>
          </cell>
          <cell r="X53">
            <v>6.3414451136954292E-2</v>
          </cell>
          <cell r="Y53">
            <v>62526.215763298795</v>
          </cell>
          <cell r="Z53">
            <v>487250</v>
          </cell>
          <cell r="AA53">
            <v>511850</v>
          </cell>
        </row>
        <row r="54">
          <cell r="C54">
            <v>2049</v>
          </cell>
          <cell r="D54" t="str">
            <v>Hatfield Academy</v>
          </cell>
          <cell r="E54">
            <v>371</v>
          </cell>
          <cell r="F54">
            <v>374</v>
          </cell>
          <cell r="G54">
            <v>3</v>
          </cell>
          <cell r="I54">
            <v>1929781.715832083</v>
          </cell>
          <cell r="J54">
            <v>5201.5679672023798</v>
          </cell>
          <cell r="K54">
            <v>58027</v>
          </cell>
          <cell r="L54">
            <v>156.40700808625337</v>
          </cell>
          <cell r="M54">
            <v>1987808.715832083</v>
          </cell>
          <cell r="N54">
            <v>5357.9749752886337</v>
          </cell>
          <cell r="O54">
            <v>2082443.7115685579</v>
          </cell>
          <cell r="P54">
            <v>72624</v>
          </cell>
          <cell r="Q54">
            <v>2155067.7115685577</v>
          </cell>
          <cell r="R54">
            <v>5568.0313143544327</v>
          </cell>
          <cell r="S54">
            <v>210.05633906579897</v>
          </cell>
          <cell r="T54">
            <v>3.9E-2</v>
          </cell>
          <cell r="U54">
            <v>94634.99573647487</v>
          </cell>
          <cell r="V54">
            <v>5762.2131325362507</v>
          </cell>
          <cell r="W54">
            <v>404.23815724761698</v>
          </cell>
          <cell r="X54">
            <v>7.5446070411301372E-2</v>
          </cell>
          <cell r="Y54">
            <v>167258.99573647464</v>
          </cell>
          <cell r="Z54">
            <v>297775</v>
          </cell>
          <cell r="AA54">
            <v>312825</v>
          </cell>
        </row>
        <row r="55">
          <cell r="C55">
            <v>2297</v>
          </cell>
          <cell r="D55" t="str">
            <v>High Green Primary School</v>
          </cell>
          <cell r="E55">
            <v>199</v>
          </cell>
          <cell r="F55">
            <v>194</v>
          </cell>
          <cell r="G55">
            <v>-5</v>
          </cell>
          <cell r="I55">
            <v>935044.08312862623</v>
          </cell>
          <cell r="J55">
            <v>4698.7139855709856</v>
          </cell>
          <cell r="K55">
            <v>25363</v>
          </cell>
          <cell r="L55">
            <v>127.45226130653266</v>
          </cell>
          <cell r="M55">
            <v>960407.08312862623</v>
          </cell>
          <cell r="N55">
            <v>4826.1662468775185</v>
          </cell>
          <cell r="O55">
            <v>948735.44192608143</v>
          </cell>
          <cell r="P55">
            <v>30716</v>
          </cell>
          <cell r="Q55">
            <v>979451.44192608143</v>
          </cell>
          <cell r="R55">
            <v>4890.3888759076362</v>
          </cell>
          <cell r="S55">
            <v>64.222629030117787</v>
          </cell>
          <cell r="T55">
            <v>1.2999999999999999E-2</v>
          </cell>
          <cell r="U55">
            <v>-11671.641202544793</v>
          </cell>
          <cell r="V55">
            <v>5048.7187728148529</v>
          </cell>
          <cell r="W55">
            <v>222.55252593733439</v>
          </cell>
          <cell r="X55">
            <v>4.6113729729331983E-2</v>
          </cell>
          <cell r="Y55">
            <v>19044.358797455207</v>
          </cell>
          <cell r="Z55">
            <v>45650</v>
          </cell>
          <cell r="AA55">
            <v>47950</v>
          </cell>
        </row>
        <row r="56">
          <cell r="C56">
            <v>2042</v>
          </cell>
          <cell r="D56" t="str">
            <v>High Hazels Junior School</v>
          </cell>
          <cell r="E56">
            <v>351</v>
          </cell>
          <cell r="F56">
            <v>356</v>
          </cell>
          <cell r="G56">
            <v>5</v>
          </cell>
          <cell r="I56">
            <v>1727741.160959655</v>
          </cell>
          <cell r="J56">
            <v>4922.3394899135465</v>
          </cell>
          <cell r="K56">
            <v>50817</v>
          </cell>
          <cell r="L56">
            <v>144.77777777777777</v>
          </cell>
          <cell r="M56">
            <v>1778558.160959655</v>
          </cell>
          <cell r="N56">
            <v>5067.1172676913247</v>
          </cell>
          <cell r="O56">
            <v>1850192.0789773287</v>
          </cell>
          <cell r="P56">
            <v>63722</v>
          </cell>
          <cell r="Q56">
            <v>1913914.0789773287</v>
          </cell>
          <cell r="R56">
            <v>5197.1687611722718</v>
          </cell>
          <cell r="S56">
            <v>130.0514934809471</v>
          </cell>
          <cell r="T56">
            <v>2.5999999999999999E-2</v>
          </cell>
          <cell r="U56">
            <v>71633.918017673772</v>
          </cell>
          <cell r="V56">
            <v>5376.1631431947435</v>
          </cell>
          <cell r="W56">
            <v>309.04587550341876</v>
          </cell>
          <cell r="X56">
            <v>6.0990472329097281E-2</v>
          </cell>
          <cell r="Y56">
            <v>135355.91801767377</v>
          </cell>
          <cell r="Z56">
            <v>213290</v>
          </cell>
          <cell r="AA56">
            <v>224070</v>
          </cell>
        </row>
        <row r="57">
          <cell r="C57">
            <v>2039</v>
          </cell>
          <cell r="D57" t="str">
            <v>High Hazels Nursery Infant Academy</v>
          </cell>
          <cell r="E57">
            <v>229</v>
          </cell>
          <cell r="F57">
            <v>248</v>
          </cell>
          <cell r="G57">
            <v>19</v>
          </cell>
          <cell r="I57">
            <v>1231007.8786999257</v>
          </cell>
          <cell r="J57">
            <v>5375.5802563315538</v>
          </cell>
          <cell r="K57">
            <v>33373</v>
          </cell>
          <cell r="L57">
            <v>145.73362445414847</v>
          </cell>
          <cell r="M57">
            <v>1264380.8786999257</v>
          </cell>
          <cell r="N57">
            <v>5521.3138807857022</v>
          </cell>
          <cell r="O57">
            <v>1409602.1081570485</v>
          </cell>
          <cell r="P57">
            <v>46502.000000000015</v>
          </cell>
          <cell r="Q57">
            <v>1456104.1081570485</v>
          </cell>
          <cell r="R57">
            <v>5683.8794683751958</v>
          </cell>
          <cell r="S57">
            <v>162.56558758949359</v>
          </cell>
          <cell r="T57">
            <v>2.9000000000000001E-2</v>
          </cell>
          <cell r="U57">
            <v>145221.22945712274</v>
          </cell>
          <cell r="V57">
            <v>5871.3875328913246</v>
          </cell>
          <cell r="W57">
            <v>350.07365210562239</v>
          </cell>
          <cell r="X57">
            <v>6.3404048323332365E-2</v>
          </cell>
          <cell r="Y57">
            <v>191723.22945712274</v>
          </cell>
          <cell r="Z57">
            <v>122905</v>
          </cell>
          <cell r="AA57">
            <v>129115</v>
          </cell>
        </row>
        <row r="58">
          <cell r="C58">
            <v>2339</v>
          </cell>
          <cell r="D58" t="str">
            <v>Hillsborough Primary School</v>
          </cell>
          <cell r="E58">
            <v>347</v>
          </cell>
          <cell r="F58">
            <v>340</v>
          </cell>
          <cell r="G58">
            <v>-7</v>
          </cell>
          <cell r="I58">
            <v>1704320.2864587028</v>
          </cell>
          <cell r="J58">
            <v>4911.5858399386243</v>
          </cell>
          <cell r="K58">
            <v>50259</v>
          </cell>
          <cell r="L58">
            <v>144.83861671469739</v>
          </cell>
          <cell r="M58">
            <v>1754579.2864587028</v>
          </cell>
          <cell r="N58">
            <v>5056.4244566533225</v>
          </cell>
          <cell r="O58">
            <v>1737375.3579284004</v>
          </cell>
          <cell r="P58">
            <v>61089.999999999985</v>
          </cell>
          <cell r="Q58">
            <v>1798465.3579284004</v>
          </cell>
          <cell r="R58">
            <v>5109.9275233188246</v>
          </cell>
          <cell r="S58">
            <v>53.503066665502047</v>
          </cell>
          <cell r="T58">
            <v>1.0999999999999999E-2</v>
          </cell>
          <cell r="U58">
            <v>-17203.928530302364</v>
          </cell>
          <cell r="V58">
            <v>5289.6039939070597</v>
          </cell>
          <cell r="W58">
            <v>233.17953725373718</v>
          </cell>
          <cell r="X58">
            <v>4.611549905524958E-2</v>
          </cell>
          <cell r="Y58">
            <v>43886.071469697636</v>
          </cell>
          <cell r="Z58">
            <v>208442.5</v>
          </cell>
          <cell r="AA58">
            <v>218977.5</v>
          </cell>
        </row>
        <row r="59">
          <cell r="C59">
            <v>2213</v>
          </cell>
          <cell r="D59" t="str">
            <v>Holt House Infant School</v>
          </cell>
          <cell r="E59">
            <v>179</v>
          </cell>
          <cell r="F59">
            <v>179</v>
          </cell>
          <cell r="G59">
            <v>0</v>
          </cell>
          <cell r="I59">
            <v>837435.62825200765</v>
          </cell>
          <cell r="J59">
            <v>4678.4113310168023</v>
          </cell>
          <cell r="K59">
            <v>22913</v>
          </cell>
          <cell r="L59">
            <v>128.00558659217876</v>
          </cell>
          <cell r="M59">
            <v>860348.62825200765</v>
          </cell>
          <cell r="N59">
            <v>4806.4169176089808</v>
          </cell>
          <cell r="O59">
            <v>863945.12764326716</v>
          </cell>
          <cell r="P59">
            <v>28515.000000000007</v>
          </cell>
          <cell r="Q59">
            <v>892460.12764326716</v>
          </cell>
          <cell r="R59">
            <v>4826.5090929791459</v>
          </cell>
          <cell r="S59">
            <v>20.092175370165023</v>
          </cell>
          <cell r="T59">
            <v>4.0000000000000001E-3</v>
          </cell>
          <cell r="U59">
            <v>3596.4993912595091</v>
          </cell>
          <cell r="V59">
            <v>4985.8107689567996</v>
          </cell>
          <cell r="W59">
            <v>179.39385134781878</v>
          </cell>
          <cell r="X59">
            <v>3.7323822386398545E-2</v>
          </cell>
          <cell r="Y59">
            <v>32111.499391259509</v>
          </cell>
          <cell r="Z59">
            <v>29725</v>
          </cell>
          <cell r="AA59">
            <v>31225</v>
          </cell>
        </row>
        <row r="60">
          <cell r="C60">
            <v>2337</v>
          </cell>
          <cell r="D60" t="str">
            <v>Hucklow Primary School</v>
          </cell>
          <cell r="E60">
            <v>413</v>
          </cell>
          <cell r="F60">
            <v>407</v>
          </cell>
          <cell r="G60">
            <v>-6</v>
          </cell>
          <cell r="I60">
            <v>2150775.2519986625</v>
          </cell>
          <cell r="J60">
            <v>5207.6882614979722</v>
          </cell>
          <cell r="K60">
            <v>60401</v>
          </cell>
          <cell r="L60">
            <v>146.24939467312348</v>
          </cell>
          <cell r="M60">
            <v>2211176.2519986625</v>
          </cell>
          <cell r="N60">
            <v>5353.937656171096</v>
          </cell>
          <cell r="O60">
            <v>2219600.4714273377</v>
          </cell>
          <cell r="P60">
            <v>72495</v>
          </cell>
          <cell r="Q60">
            <v>2292095.4714273377</v>
          </cell>
          <cell r="R60">
            <v>5453.5638118607803</v>
          </cell>
          <cell r="S60">
            <v>99.62615568968431</v>
          </cell>
          <cell r="T60">
            <v>1.9E-2</v>
          </cell>
          <cell r="U60">
            <v>8424.2194286752492</v>
          </cell>
          <cell r="V60">
            <v>5631.6842049811739</v>
          </cell>
          <cell r="W60">
            <v>277.74654881007791</v>
          </cell>
          <cell r="X60">
            <v>5.1877060706887308E-2</v>
          </cell>
          <cell r="Y60">
            <v>80919.219428675249</v>
          </cell>
          <cell r="Z60">
            <v>270075</v>
          </cell>
          <cell r="AA60">
            <v>283725</v>
          </cell>
        </row>
        <row r="61">
          <cell r="C61">
            <v>2060</v>
          </cell>
          <cell r="D61" t="str">
            <v>Hunter's Bar Infant School</v>
          </cell>
          <cell r="E61">
            <v>267</v>
          </cell>
          <cell r="F61">
            <v>269</v>
          </cell>
          <cell r="G61">
            <v>2</v>
          </cell>
          <cell r="I61">
            <v>1213373.5888893723</v>
          </cell>
          <cell r="J61">
            <v>4544.4703703721807</v>
          </cell>
          <cell r="K61">
            <v>31619</v>
          </cell>
          <cell r="L61">
            <v>118.42322097378278</v>
          </cell>
          <cell r="M61">
            <v>1244992.5888893723</v>
          </cell>
          <cell r="N61">
            <v>4662.8935913459636</v>
          </cell>
          <cell r="O61">
            <v>1258818.8279218627</v>
          </cell>
          <cell r="P61">
            <v>38497</v>
          </cell>
          <cell r="Q61">
            <v>1297315.8279218627</v>
          </cell>
          <cell r="R61">
            <v>4679.6238956203078</v>
          </cell>
          <cell r="S61">
            <v>16.730304274344235</v>
          </cell>
          <cell r="T61">
            <v>4.0000000000000001E-3</v>
          </cell>
          <cell r="U61">
            <v>13826.239032490412</v>
          </cell>
          <cell r="V61">
            <v>4822.7354197838758</v>
          </cell>
          <cell r="W61">
            <v>159.84182843791223</v>
          </cell>
          <cell r="X61">
            <v>3.4279535937635074E-2</v>
          </cell>
          <cell r="Y61">
            <v>52323.239032490412</v>
          </cell>
          <cell r="Z61">
            <v>36675</v>
          </cell>
          <cell r="AA61">
            <v>38525</v>
          </cell>
        </row>
        <row r="62">
          <cell r="C62">
            <v>2058</v>
          </cell>
          <cell r="D62" t="str">
            <v>Hunter's Bar Junior School</v>
          </cell>
          <cell r="E62">
            <v>362</v>
          </cell>
          <cell r="F62">
            <v>362</v>
          </cell>
          <cell r="G62">
            <v>0</v>
          </cell>
          <cell r="I62">
            <v>1567233.2367642461</v>
          </cell>
          <cell r="J62">
            <v>4329.373582221674</v>
          </cell>
          <cell r="K62">
            <v>43214</v>
          </cell>
          <cell r="L62">
            <v>119.37569060773481</v>
          </cell>
          <cell r="M62">
            <v>1610447.2367642461</v>
          </cell>
          <cell r="N62">
            <v>4448.7492728294092</v>
          </cell>
          <cell r="O62">
            <v>1617758.8575880683</v>
          </cell>
          <cell r="P62">
            <v>52996</v>
          </cell>
          <cell r="Q62">
            <v>1670754.8575880683</v>
          </cell>
          <cell r="R62">
            <v>4468.9471204090287</v>
          </cell>
          <cell r="S62">
            <v>20.19784757961952</v>
          </cell>
          <cell r="T62">
            <v>5.0000000000000001E-3</v>
          </cell>
          <cell r="U62">
            <v>7311.6208238222171</v>
          </cell>
          <cell r="V62">
            <v>4615.3449104642768</v>
          </cell>
          <cell r="W62">
            <v>166.59563763486767</v>
          </cell>
          <cell r="X62">
            <v>3.7447747089804563E-2</v>
          </cell>
          <cell r="Y62">
            <v>60307.620823822217</v>
          </cell>
          <cell r="Z62">
            <v>78505</v>
          </cell>
          <cell r="AA62">
            <v>82465</v>
          </cell>
        </row>
        <row r="63">
          <cell r="C63">
            <v>2063</v>
          </cell>
          <cell r="D63" t="str">
            <v>Intake Primary School</v>
          </cell>
          <cell r="E63">
            <v>409</v>
          </cell>
          <cell r="F63">
            <v>413</v>
          </cell>
          <cell r="G63">
            <v>4</v>
          </cell>
          <cell r="I63">
            <v>1803792.7821557091</v>
          </cell>
          <cell r="J63">
            <v>4410.2513011142028</v>
          </cell>
          <cell r="K63">
            <v>52958</v>
          </cell>
          <cell r="L63">
            <v>129.48166259168704</v>
          </cell>
          <cell r="M63">
            <v>1856750.7821557091</v>
          </cell>
          <cell r="N63">
            <v>4539.7329637058901</v>
          </cell>
          <cell r="O63">
            <v>1886268.6164073555</v>
          </cell>
          <cell r="P63">
            <v>65617</v>
          </cell>
          <cell r="Q63">
            <v>1951885.6164073555</v>
          </cell>
          <cell r="R63">
            <v>4567.2363593398441</v>
          </cell>
          <cell r="S63">
            <v>27.503395633953915</v>
          </cell>
          <cell r="T63">
            <v>6.0000000000000001E-3</v>
          </cell>
          <cell r="U63">
            <v>29517.834251646418</v>
          </cell>
          <cell r="V63">
            <v>4726.1152939645408</v>
          </cell>
          <cell r="W63">
            <v>186.38233025865065</v>
          </cell>
          <cell r="X63">
            <v>4.105579155177938E-2</v>
          </cell>
          <cell r="Y63">
            <v>95134.834251646418</v>
          </cell>
          <cell r="Z63">
            <v>158490</v>
          </cell>
          <cell r="AA63">
            <v>166495</v>
          </cell>
        </row>
        <row r="64">
          <cell r="C64">
            <v>2261</v>
          </cell>
          <cell r="D64" t="str">
            <v>Limpsfield Junior School</v>
          </cell>
          <cell r="E64">
            <v>235</v>
          </cell>
          <cell r="F64">
            <v>225</v>
          </cell>
          <cell r="G64">
            <v>-10</v>
          </cell>
          <cell r="I64">
            <v>1169237.5154380121</v>
          </cell>
          <cell r="J64">
            <v>4975.4787890979242</v>
          </cell>
          <cell r="K64">
            <v>33360</v>
          </cell>
          <cell r="L64">
            <v>141.95744680851064</v>
          </cell>
          <cell r="M64">
            <v>1202597.5154380121</v>
          </cell>
          <cell r="N64">
            <v>5117.4362359064344</v>
          </cell>
          <cell r="O64">
            <v>1179056.9573538802</v>
          </cell>
          <cell r="P64">
            <v>39397.000000000007</v>
          </cell>
          <cell r="Q64">
            <v>1218453.9573538802</v>
          </cell>
          <cell r="R64">
            <v>5240.2531437950229</v>
          </cell>
          <cell r="S64">
            <v>122.8169078885885</v>
          </cell>
          <cell r="T64">
            <v>2.4E-2</v>
          </cell>
          <cell r="U64">
            <v>-23540.558084131917</v>
          </cell>
          <cell r="V64">
            <v>5415.3509215728009</v>
          </cell>
          <cell r="W64">
            <v>297.91468566636649</v>
          </cell>
          <cell r="X64">
            <v>5.821561264917214E-2</v>
          </cell>
          <cell r="Y64">
            <v>15856.441915868083</v>
          </cell>
          <cell r="Z64">
            <v>113145</v>
          </cell>
          <cell r="AA64">
            <v>118860</v>
          </cell>
        </row>
        <row r="65">
          <cell r="C65">
            <v>2315</v>
          </cell>
          <cell r="D65" t="str">
            <v>Lound Infant School</v>
          </cell>
          <cell r="E65">
            <v>145</v>
          </cell>
          <cell r="F65">
            <v>148</v>
          </cell>
          <cell r="G65">
            <v>3</v>
          </cell>
          <cell r="I65">
            <v>687656.8425645323</v>
          </cell>
          <cell r="J65">
            <v>4742.4609832036713</v>
          </cell>
          <cell r="K65">
            <v>19105</v>
          </cell>
          <cell r="L65">
            <v>131.75862068965517</v>
          </cell>
          <cell r="M65">
            <v>706761.8425645323</v>
          </cell>
          <cell r="N65">
            <v>4874.2196038933262</v>
          </cell>
          <cell r="O65">
            <v>746723.97533737624</v>
          </cell>
          <cell r="P65">
            <v>25242.000000000004</v>
          </cell>
          <cell r="Q65">
            <v>771965.97533737624</v>
          </cell>
          <cell r="R65">
            <v>5045.4322657930825</v>
          </cell>
          <cell r="S65">
            <v>171.21266189975631</v>
          </cell>
          <cell r="T65">
            <v>3.5000000000000003E-2</v>
          </cell>
          <cell r="U65">
            <v>39962.132772843936</v>
          </cell>
          <cell r="V65">
            <v>5215.9863198471367</v>
          </cell>
          <cell r="W65">
            <v>341.76671595381049</v>
          </cell>
          <cell r="X65">
            <v>7.011721746817097E-2</v>
          </cell>
          <cell r="Y65">
            <v>65204.132772843936</v>
          </cell>
          <cell r="Z65">
            <v>24890</v>
          </cell>
          <cell r="AA65">
            <v>26145</v>
          </cell>
        </row>
        <row r="66">
          <cell r="C66">
            <v>2298</v>
          </cell>
          <cell r="D66" t="str">
            <v>Lound Junior School</v>
          </cell>
          <cell r="E66">
            <v>209</v>
          </cell>
          <cell r="F66">
            <v>211</v>
          </cell>
          <cell r="G66">
            <v>2</v>
          </cell>
          <cell r="I66">
            <v>928085.72012582642</v>
          </cell>
          <cell r="J66">
            <v>4440.6015317025185</v>
          </cell>
          <cell r="K66">
            <v>25993</v>
          </cell>
          <cell r="L66">
            <v>124.36842105263158</v>
          </cell>
          <cell r="M66">
            <v>954078.72012582642</v>
          </cell>
          <cell r="N66">
            <v>4564.9699527551502</v>
          </cell>
          <cell r="O66">
            <v>966106.89762814413</v>
          </cell>
          <cell r="P66">
            <v>32531.000000000004</v>
          </cell>
          <cell r="Q66">
            <v>998637.89762814413</v>
          </cell>
          <cell r="R66">
            <v>4578.7056759627685</v>
          </cell>
          <cell r="S66">
            <v>13.735723207618321</v>
          </cell>
          <cell r="T66">
            <v>3.0000000000000001E-3</v>
          </cell>
          <cell r="U66">
            <v>12028.177502317703</v>
          </cell>
          <cell r="V66">
            <v>4732.8810314130051</v>
          </cell>
          <cell r="W66">
            <v>167.91107865785489</v>
          </cell>
          <cell r="X66">
            <v>3.6782515634415848E-2</v>
          </cell>
          <cell r="Y66">
            <v>44559.177502317703</v>
          </cell>
          <cell r="Z66">
            <v>36995</v>
          </cell>
          <cell r="AA66">
            <v>38860</v>
          </cell>
        </row>
        <row r="67">
          <cell r="C67">
            <v>2029</v>
          </cell>
          <cell r="D67" t="str">
            <v>Lowedges Junior Academy</v>
          </cell>
          <cell r="E67">
            <v>302</v>
          </cell>
          <cell r="F67">
            <v>299</v>
          </cell>
          <cell r="G67">
            <v>-3</v>
          </cell>
          <cell r="I67">
            <v>1557950.7716105948</v>
          </cell>
          <cell r="J67">
            <v>5158.7773894390557</v>
          </cell>
          <cell r="K67">
            <v>50739</v>
          </cell>
          <cell r="L67">
            <v>168.00993377483445</v>
          </cell>
          <cell r="M67">
            <v>1608689.7716105948</v>
          </cell>
          <cell r="N67">
            <v>5326.78732321389</v>
          </cell>
          <cell r="O67">
            <v>1639517.0189740863</v>
          </cell>
          <cell r="P67">
            <v>62035</v>
          </cell>
          <cell r="Q67">
            <v>1701552.0189740863</v>
          </cell>
          <cell r="R67">
            <v>5483.3345116190176</v>
          </cell>
          <cell r="S67">
            <v>156.5471884051276</v>
          </cell>
          <cell r="T67">
            <v>2.9000000000000001E-2</v>
          </cell>
          <cell r="U67">
            <v>30827.24736349145</v>
          </cell>
          <cell r="V67">
            <v>5690.8094280069772</v>
          </cell>
          <cell r="W67">
            <v>364.02210479308724</v>
          </cell>
          <cell r="X67">
            <v>6.8338021157085801E-2</v>
          </cell>
          <cell r="Y67">
            <v>92862.24736349145</v>
          </cell>
          <cell r="Z67">
            <v>289050</v>
          </cell>
          <cell r="AA67">
            <v>303650</v>
          </cell>
        </row>
        <row r="68">
          <cell r="C68">
            <v>2045</v>
          </cell>
          <cell r="D68" t="str">
            <v>Lower Meadow Primary School</v>
          </cell>
          <cell r="E68">
            <v>249</v>
          </cell>
          <cell r="F68">
            <v>259</v>
          </cell>
          <cell r="G68">
            <v>10</v>
          </cell>
          <cell r="I68">
            <v>1330484.3108014148</v>
          </cell>
          <cell r="J68">
            <v>5343.310485146244</v>
          </cell>
          <cell r="K68">
            <v>42708</v>
          </cell>
          <cell r="L68">
            <v>171.51807228915663</v>
          </cell>
          <cell r="M68">
            <v>1373192.3108014148</v>
          </cell>
          <cell r="N68">
            <v>5514.8285574354004</v>
          </cell>
          <cell r="O68">
            <v>1478084.6014411733</v>
          </cell>
          <cell r="P68">
            <v>54779</v>
          </cell>
          <cell r="Q68">
            <v>1532863.6014411733</v>
          </cell>
          <cell r="R68">
            <v>5706.8903530547232</v>
          </cell>
          <cell r="S68">
            <v>192.06179561932277</v>
          </cell>
          <cell r="T68">
            <v>3.5000000000000003E-2</v>
          </cell>
          <cell r="U68">
            <v>104892.29063975858</v>
          </cell>
          <cell r="V68">
            <v>5918.3922835566536</v>
          </cell>
          <cell r="W68">
            <v>403.56372612125324</v>
          </cell>
          <cell r="X68">
            <v>7.3177927821010152E-2</v>
          </cell>
          <cell r="Y68">
            <v>159671.29063975858</v>
          </cell>
          <cell r="Z68">
            <v>236835</v>
          </cell>
          <cell r="AA68">
            <v>248805</v>
          </cell>
        </row>
        <row r="69">
          <cell r="C69">
            <v>2070</v>
          </cell>
          <cell r="D69" t="str">
            <v>Lowfield Community Primary School</v>
          </cell>
          <cell r="E69">
            <v>365</v>
          </cell>
          <cell r="F69">
            <v>379</v>
          </cell>
          <cell r="G69">
            <v>14</v>
          </cell>
          <cell r="I69">
            <v>1837580.0342440454</v>
          </cell>
          <cell r="J69">
            <v>5034.4658472439596</v>
          </cell>
          <cell r="K69">
            <v>52600</v>
          </cell>
          <cell r="L69">
            <v>144.10958904109589</v>
          </cell>
          <cell r="M69">
            <v>1890180.0342440454</v>
          </cell>
          <cell r="N69">
            <v>5178.5754362850557</v>
          </cell>
          <cell r="O69">
            <v>2000308.0917427114</v>
          </cell>
          <cell r="P69">
            <v>66770.999999999985</v>
          </cell>
          <cell r="Q69">
            <v>2067079.0917427114</v>
          </cell>
          <cell r="R69">
            <v>5277.8577618541194</v>
          </cell>
          <cell r="S69">
            <v>99.282325569063687</v>
          </cell>
          <cell r="T69">
            <v>1.9E-2</v>
          </cell>
          <cell r="U69">
            <v>110128.05749866599</v>
          </cell>
          <cell r="V69">
            <v>5454.034542856758</v>
          </cell>
          <cell r="W69">
            <v>275.45910657170225</v>
          </cell>
          <cell r="X69">
            <v>5.3192062172470314E-2</v>
          </cell>
          <cell r="Y69">
            <v>176899.05749866599</v>
          </cell>
          <cell r="Z69">
            <v>218830</v>
          </cell>
          <cell r="AA69">
            <v>229890</v>
          </cell>
        </row>
        <row r="70">
          <cell r="C70">
            <v>2292</v>
          </cell>
          <cell r="D70" t="str">
            <v>Loxley Primary School</v>
          </cell>
          <cell r="E70">
            <v>209</v>
          </cell>
          <cell r="F70">
            <v>210</v>
          </cell>
          <cell r="G70">
            <v>1</v>
          </cell>
          <cell r="I70">
            <v>897733.91829061171</v>
          </cell>
          <cell r="J70">
            <v>4295.3775994766111</v>
          </cell>
          <cell r="K70">
            <v>25653</v>
          </cell>
          <cell r="L70">
            <v>122.74162679425838</v>
          </cell>
          <cell r="M70">
            <v>923386.91829061171</v>
          </cell>
          <cell r="N70">
            <v>4418.1192262708691</v>
          </cell>
          <cell r="O70">
            <v>931160.38595805573</v>
          </cell>
          <cell r="P70">
            <v>31580</v>
          </cell>
          <cell r="Q70">
            <v>962740.38595805573</v>
          </cell>
          <cell r="R70">
            <v>4434.0970759907414</v>
          </cell>
          <cell r="S70">
            <v>15.977849719872211</v>
          </cell>
          <cell r="T70">
            <v>4.0000000000000001E-3</v>
          </cell>
          <cell r="U70">
            <v>7773.467667444027</v>
          </cell>
          <cell r="V70">
            <v>4584.4780283716937</v>
          </cell>
          <cell r="W70">
            <v>166.35880210082451</v>
          </cell>
          <cell r="X70">
            <v>3.7653760249752317E-2</v>
          </cell>
          <cell r="Y70">
            <v>39353.467667444027</v>
          </cell>
          <cell r="Z70">
            <v>39750</v>
          </cell>
          <cell r="AA70">
            <v>41750</v>
          </cell>
        </row>
        <row r="71">
          <cell r="C71">
            <v>2072</v>
          </cell>
          <cell r="D71" t="str">
            <v>Lydgate Infant School</v>
          </cell>
          <cell r="E71">
            <v>356</v>
          </cell>
          <cell r="F71">
            <v>344</v>
          </cell>
          <cell r="G71">
            <v>-12</v>
          </cell>
          <cell r="I71">
            <v>1553961.2938231491</v>
          </cell>
          <cell r="J71">
            <v>4365.059814109969</v>
          </cell>
          <cell r="K71">
            <v>40932</v>
          </cell>
          <cell r="L71">
            <v>114.97752808988764</v>
          </cell>
          <cell r="M71">
            <v>1594893.2938231491</v>
          </cell>
          <cell r="N71">
            <v>4480.0373421998565</v>
          </cell>
          <cell r="O71">
            <v>1553143.7337374708</v>
          </cell>
          <cell r="P71">
            <v>48150</v>
          </cell>
          <cell r="Q71">
            <v>1601293.7337374708</v>
          </cell>
          <cell r="R71">
            <v>4514.9527143531132</v>
          </cell>
          <cell r="S71">
            <v>34.915372153256612</v>
          </cell>
          <cell r="T71">
            <v>8.0000000000000002E-3</v>
          </cell>
          <cell r="U71">
            <v>-41749.56008567824</v>
          </cell>
          <cell r="V71">
            <v>4654.9236445856714</v>
          </cell>
          <cell r="W71">
            <v>174.88630238581482</v>
          </cell>
          <cell r="X71">
            <v>3.9036795684372461E-2</v>
          </cell>
          <cell r="Y71">
            <v>6400.4399143217597</v>
          </cell>
          <cell r="Z71">
            <v>51550</v>
          </cell>
          <cell r="AA71">
            <v>54150</v>
          </cell>
        </row>
        <row r="72">
          <cell r="C72">
            <v>2071</v>
          </cell>
          <cell r="D72" t="str">
            <v>Lydgate Junior School</v>
          </cell>
          <cell r="E72">
            <v>475</v>
          </cell>
          <cell r="F72">
            <v>479</v>
          </cell>
          <cell r="G72">
            <v>4</v>
          </cell>
          <cell r="I72">
            <v>2048954</v>
          </cell>
          <cell r="J72">
            <v>4313.5873684210528</v>
          </cell>
          <cell r="K72">
            <v>54430</v>
          </cell>
          <cell r="L72">
            <v>114.58947368421053</v>
          </cell>
          <cell r="M72">
            <v>2103384</v>
          </cell>
          <cell r="N72">
            <v>4428.1768421052629</v>
          </cell>
          <cell r="O72">
            <v>2133074</v>
          </cell>
          <cell r="P72">
            <v>67750.999999999985</v>
          </cell>
          <cell r="Q72">
            <v>2200825</v>
          </cell>
          <cell r="R72">
            <v>4453.1816283924845</v>
          </cell>
          <cell r="S72">
            <v>25.004786287221577</v>
          </cell>
          <cell r="T72">
            <v>6.0000000000000001E-3</v>
          </cell>
          <cell r="U72">
            <v>29690</v>
          </cell>
          <cell r="V72">
            <v>4594.6242171189979</v>
          </cell>
          <cell r="W72">
            <v>166.44737501373493</v>
          </cell>
          <cell r="X72">
            <v>3.7588240250721737E-2</v>
          </cell>
          <cell r="Y72">
            <v>97441</v>
          </cell>
          <cell r="Z72">
            <v>87865</v>
          </cell>
          <cell r="AA72">
            <v>92295</v>
          </cell>
        </row>
        <row r="73">
          <cell r="C73">
            <v>2358</v>
          </cell>
          <cell r="D73" t="str">
            <v>Malin Bridge Primary School</v>
          </cell>
          <cell r="E73">
            <v>522</v>
          </cell>
          <cell r="F73">
            <v>517</v>
          </cell>
          <cell r="G73">
            <v>-5</v>
          </cell>
          <cell r="I73">
            <v>2254517.9999999995</v>
          </cell>
          <cell r="J73">
            <v>4318.9999999999991</v>
          </cell>
          <cell r="K73">
            <v>62984</v>
          </cell>
          <cell r="L73">
            <v>120.65900383141762</v>
          </cell>
          <cell r="M73">
            <v>2317501.9999999995</v>
          </cell>
          <cell r="N73">
            <v>4439.6590038314171</v>
          </cell>
          <cell r="O73">
            <v>2307398.3897586213</v>
          </cell>
          <cell r="P73">
            <v>76120.999999999985</v>
          </cell>
          <cell r="Q73">
            <v>2383519.3897586213</v>
          </cell>
          <cell r="R73">
            <v>4463.0529782565209</v>
          </cell>
          <cell r="S73">
            <v>23.393974425103806</v>
          </cell>
          <cell r="T73">
            <v>5.0000000000000001E-3</v>
          </cell>
          <cell r="U73">
            <v>-10103.610241378192</v>
          </cell>
          <cell r="V73">
            <v>4610.2889550456894</v>
          </cell>
          <cell r="W73">
            <v>170.6299512142723</v>
          </cell>
          <cell r="X73">
            <v>3.8433120892171893E-2</v>
          </cell>
          <cell r="Y73">
            <v>66017.389758621808</v>
          </cell>
          <cell r="Z73">
            <v>140910</v>
          </cell>
          <cell r="AA73">
            <v>148030</v>
          </cell>
        </row>
        <row r="74">
          <cell r="C74">
            <v>2359</v>
          </cell>
          <cell r="D74" t="str">
            <v>Manor Lodge Community Primary and Nursery School</v>
          </cell>
          <cell r="E74">
            <v>319</v>
          </cell>
          <cell r="F74">
            <v>333</v>
          </cell>
          <cell r="G74">
            <v>14</v>
          </cell>
          <cell r="I74">
            <v>1624739.8170937686</v>
          </cell>
          <cell r="J74">
            <v>5093.2282667516256</v>
          </cell>
          <cell r="K74">
            <v>49413</v>
          </cell>
          <cell r="L74">
            <v>154.89968652037618</v>
          </cell>
          <cell r="M74">
            <v>1674152.8170937686</v>
          </cell>
          <cell r="N74">
            <v>5248.1279532720018</v>
          </cell>
          <cell r="O74">
            <v>1751725.8774208594</v>
          </cell>
          <cell r="P74">
            <v>60672.999999999985</v>
          </cell>
          <cell r="Q74">
            <v>1812398.8774208594</v>
          </cell>
          <cell r="R74">
            <v>5260.4380703329116</v>
          </cell>
          <cell r="S74">
            <v>12.310117060909761</v>
          </cell>
          <cell r="T74">
            <v>2E-3</v>
          </cell>
          <cell r="U74">
            <v>77573.060327090789</v>
          </cell>
          <cell r="V74">
            <v>5442.6392715341126</v>
          </cell>
          <cell r="W74">
            <v>194.51131826211076</v>
          </cell>
          <cell r="X74">
            <v>3.706299084054164E-2</v>
          </cell>
          <cell r="Y74">
            <v>138246.06032709079</v>
          </cell>
          <cell r="Z74">
            <v>244065</v>
          </cell>
          <cell r="AA74">
            <v>256395</v>
          </cell>
        </row>
        <row r="75">
          <cell r="C75">
            <v>2012</v>
          </cell>
          <cell r="D75" t="str">
            <v>Mansel Primary</v>
          </cell>
          <cell r="E75">
            <v>385</v>
          </cell>
          <cell r="F75">
            <v>399</v>
          </cell>
          <cell r="G75">
            <v>14</v>
          </cell>
          <cell r="I75">
            <v>1927026.4999804159</v>
          </cell>
          <cell r="J75">
            <v>5005.2636363127685</v>
          </cell>
          <cell r="K75">
            <v>59810</v>
          </cell>
          <cell r="L75">
            <v>155.35064935064935</v>
          </cell>
          <cell r="M75">
            <v>1986836.4999804159</v>
          </cell>
          <cell r="N75">
            <v>5160.6142856634178</v>
          </cell>
          <cell r="O75">
            <v>2093290.994657683</v>
          </cell>
          <cell r="P75">
            <v>75182.999999999985</v>
          </cell>
          <cell r="Q75">
            <v>2168473.9946576827</v>
          </cell>
          <cell r="R75">
            <v>5246.3433450067241</v>
          </cell>
          <cell r="S75">
            <v>85.72905934330629</v>
          </cell>
          <cell r="T75">
            <v>1.7000000000000001E-2</v>
          </cell>
          <cell r="U75">
            <v>106454.49467726704</v>
          </cell>
          <cell r="V75">
            <v>5434.7719164352948</v>
          </cell>
          <cell r="W75">
            <v>274.15763077187694</v>
          </cell>
          <cell r="X75">
            <v>5.3124999388833971E-2</v>
          </cell>
          <cell r="Y75">
            <v>181637.4946772668</v>
          </cell>
          <cell r="Z75">
            <v>313940</v>
          </cell>
          <cell r="AA75">
            <v>329795</v>
          </cell>
        </row>
        <row r="76">
          <cell r="C76">
            <v>2079</v>
          </cell>
          <cell r="D76" t="str">
            <v>Marlcliffe Community Primary School</v>
          </cell>
          <cell r="E76">
            <v>509</v>
          </cell>
          <cell r="F76">
            <v>501</v>
          </cell>
          <cell r="G76">
            <v>-8</v>
          </cell>
          <cell r="I76">
            <v>2199595</v>
          </cell>
          <cell r="J76">
            <v>4321.4047151277018</v>
          </cell>
          <cell r="K76">
            <v>59598</v>
          </cell>
          <cell r="L76">
            <v>117.08840864440079</v>
          </cell>
          <cell r="M76">
            <v>2259193</v>
          </cell>
          <cell r="N76">
            <v>4438.4931237721021</v>
          </cell>
          <cell r="O76">
            <v>2236489.3333300585</v>
          </cell>
          <cell r="P76">
            <v>72657.000000000015</v>
          </cell>
          <cell r="Q76">
            <v>2309146.3333300585</v>
          </cell>
          <cell r="R76">
            <v>4464.050565529059</v>
          </cell>
          <cell r="S76">
            <v>25.557441756956905</v>
          </cell>
          <cell r="T76">
            <v>6.0000000000000001E-3</v>
          </cell>
          <cell r="U76">
            <v>-22703.666669941507</v>
          </cell>
          <cell r="V76">
            <v>4609.0745176248674</v>
          </cell>
          <cell r="W76">
            <v>170.58139385276536</v>
          </cell>
          <cell r="X76">
            <v>3.8432276246897705E-2</v>
          </cell>
          <cell r="Y76">
            <v>49953.333330058493</v>
          </cell>
          <cell r="Z76">
            <v>117975</v>
          </cell>
          <cell r="AA76">
            <v>123925</v>
          </cell>
        </row>
        <row r="77">
          <cell r="C77">
            <v>2081</v>
          </cell>
          <cell r="D77" t="str">
            <v>Meersbrook Bank Primary School</v>
          </cell>
          <cell r="E77">
            <v>200</v>
          </cell>
          <cell r="F77">
            <v>207</v>
          </cell>
          <cell r="G77">
            <v>7</v>
          </cell>
          <cell r="I77">
            <v>902129.56263524375</v>
          </cell>
          <cell r="J77">
            <v>4510.6478131762187</v>
          </cell>
          <cell r="K77">
            <v>25120</v>
          </cell>
          <cell r="L77">
            <v>125.6</v>
          </cell>
          <cell r="M77">
            <v>927249.56263524375</v>
          </cell>
          <cell r="N77">
            <v>4636.2478131762191</v>
          </cell>
          <cell r="O77">
            <v>958788.56505161442</v>
          </cell>
          <cell r="P77">
            <v>31534.999999999996</v>
          </cell>
          <cell r="Q77">
            <v>990323.56505161442</v>
          </cell>
          <cell r="R77">
            <v>4631.828816674466</v>
          </cell>
          <cell r="S77">
            <v>-4.4189965017530994</v>
          </cell>
          <cell r="T77">
            <v>-1E-3</v>
          </cell>
          <cell r="U77">
            <v>31539.002416370669</v>
          </cell>
          <cell r="V77">
            <v>4784.1718118435483</v>
          </cell>
          <cell r="W77">
            <v>147.92399866732922</v>
          </cell>
          <cell r="X77">
            <v>3.1905973241320086E-2</v>
          </cell>
          <cell r="Y77">
            <v>63074.002416370669</v>
          </cell>
          <cell r="Z77">
            <v>54570</v>
          </cell>
          <cell r="AA77">
            <v>57310</v>
          </cell>
        </row>
        <row r="78">
          <cell r="C78">
            <v>2013</v>
          </cell>
          <cell r="D78" t="str">
            <v>Meynell Community Primary School</v>
          </cell>
          <cell r="E78">
            <v>361</v>
          </cell>
          <cell r="F78">
            <v>368</v>
          </cell>
          <cell r="G78">
            <v>7</v>
          </cell>
          <cell r="I78">
            <v>1913975.4892088959</v>
          </cell>
          <cell r="J78">
            <v>5301.871161243479</v>
          </cell>
          <cell r="K78">
            <v>60797</v>
          </cell>
          <cell r="L78">
            <v>168.41274238227146</v>
          </cell>
          <cell r="M78">
            <v>1974772.4892088959</v>
          </cell>
          <cell r="N78">
            <v>5470.2839036257501</v>
          </cell>
          <cell r="O78">
            <v>2062257.4323296626</v>
          </cell>
          <cell r="P78">
            <v>76173.999999999985</v>
          </cell>
          <cell r="Q78">
            <v>2138431.4323296626</v>
          </cell>
          <cell r="R78">
            <v>5603.9604139393005</v>
          </cell>
          <cell r="S78">
            <v>133.67651031355035</v>
          </cell>
          <cell r="T78">
            <v>2.4E-2</v>
          </cell>
          <cell r="U78">
            <v>87484.943120766664</v>
          </cell>
          <cell r="V78">
            <v>5810.9549791566915</v>
          </cell>
          <cell r="W78">
            <v>340.67107553094138</v>
          </cell>
          <cell r="X78">
            <v>6.2276671838758083E-2</v>
          </cell>
          <cell r="Y78">
            <v>163658.94312076666</v>
          </cell>
          <cell r="Z78">
            <v>373785</v>
          </cell>
          <cell r="AA78">
            <v>392655</v>
          </cell>
        </row>
        <row r="79">
          <cell r="C79">
            <v>2346</v>
          </cell>
          <cell r="D79" t="str">
            <v>Monteney Primary School</v>
          </cell>
          <cell r="E79">
            <v>400</v>
          </cell>
          <cell r="F79">
            <v>404</v>
          </cell>
          <cell r="G79">
            <v>4</v>
          </cell>
          <cell r="I79">
            <v>1831068.0337442576</v>
          </cell>
          <cell r="J79">
            <v>4577.6700843606441</v>
          </cell>
          <cell r="K79">
            <v>53785</v>
          </cell>
          <cell r="L79">
            <v>134.46250000000001</v>
          </cell>
          <cell r="M79">
            <v>1884853.0337442576</v>
          </cell>
          <cell r="N79">
            <v>4712.1325843606437</v>
          </cell>
          <cell r="O79">
            <v>1917141.846042393</v>
          </cell>
          <cell r="P79">
            <v>66314.000000000015</v>
          </cell>
          <cell r="Q79">
            <v>1983455.846042393</v>
          </cell>
          <cell r="R79">
            <v>4745.4006090158246</v>
          </cell>
          <cell r="S79">
            <v>33.268024655180852</v>
          </cell>
          <cell r="T79">
            <v>7.0000000000000001E-3</v>
          </cell>
          <cell r="U79">
            <v>32288.812298135366</v>
          </cell>
          <cell r="V79">
            <v>4909.54417337226</v>
          </cell>
          <cell r="W79">
            <v>197.41158901161634</v>
          </cell>
          <cell r="X79">
            <v>4.1894319711380051E-2</v>
          </cell>
          <cell r="Y79">
            <v>98602.812298135366</v>
          </cell>
          <cell r="Z79">
            <v>195785</v>
          </cell>
          <cell r="AA79">
            <v>205655</v>
          </cell>
        </row>
        <row r="80">
          <cell r="C80">
            <v>2257</v>
          </cell>
          <cell r="D80" t="str">
            <v>Mosborough Primary School</v>
          </cell>
          <cell r="E80">
            <v>410</v>
          </cell>
          <cell r="F80">
            <v>418</v>
          </cell>
          <cell r="G80">
            <v>8</v>
          </cell>
          <cell r="I80">
            <v>1948391.8273404466</v>
          </cell>
          <cell r="J80">
            <v>4752.1751886352358</v>
          </cell>
          <cell r="K80">
            <v>48720</v>
          </cell>
          <cell r="L80">
            <v>118.82926829268293</v>
          </cell>
          <cell r="M80">
            <v>1997111.8273404466</v>
          </cell>
          <cell r="N80">
            <v>4871.0044569279189</v>
          </cell>
          <cell r="O80">
            <v>2089242.8340212307</v>
          </cell>
          <cell r="P80">
            <v>61012.000000000015</v>
          </cell>
          <cell r="Q80">
            <v>2150254.8340212307</v>
          </cell>
          <cell r="R80">
            <v>4998.188598136916</v>
          </cell>
          <cell r="S80">
            <v>127.18414120899706</v>
          </cell>
          <cell r="T80">
            <v>2.5999999999999999E-2</v>
          </cell>
          <cell r="U80">
            <v>92131.006680784049</v>
          </cell>
          <cell r="V80">
            <v>5144.1503206249536</v>
          </cell>
          <cell r="W80">
            <v>273.14586369703466</v>
          </cell>
          <cell r="X80">
            <v>5.6075880470309467E-2</v>
          </cell>
          <cell r="Y80">
            <v>153143.00668078405</v>
          </cell>
          <cell r="Z80">
            <v>95085</v>
          </cell>
          <cell r="AA80">
            <v>99880</v>
          </cell>
        </row>
        <row r="81">
          <cell r="C81">
            <v>2092</v>
          </cell>
          <cell r="D81" t="str">
            <v>Mundella Primary School</v>
          </cell>
          <cell r="E81">
            <v>420</v>
          </cell>
          <cell r="F81">
            <v>416</v>
          </cell>
          <cell r="G81">
            <v>-4</v>
          </cell>
          <cell r="I81">
            <v>1819748.9999999998</v>
          </cell>
          <cell r="J81">
            <v>4332.7357142857136</v>
          </cell>
          <cell r="K81">
            <v>49605</v>
          </cell>
          <cell r="L81">
            <v>118.10714285714286</v>
          </cell>
          <cell r="M81">
            <v>1869353.9999999998</v>
          </cell>
          <cell r="N81">
            <v>4450.8428571428567</v>
          </cell>
          <cell r="O81">
            <v>1861521.0857142867</v>
          </cell>
          <cell r="P81">
            <v>59942.000000000007</v>
          </cell>
          <cell r="Q81">
            <v>1921463.0857142867</v>
          </cell>
          <cell r="R81">
            <v>4474.810302197804</v>
          </cell>
          <cell r="S81">
            <v>23.967445054947348</v>
          </cell>
          <cell r="T81">
            <v>5.0000000000000001E-3</v>
          </cell>
          <cell r="U81">
            <v>-7832.9142857131083</v>
          </cell>
          <cell r="V81">
            <v>4618.9016483516507</v>
          </cell>
          <cell r="W81">
            <v>168.05879120879399</v>
          </cell>
          <cell r="X81">
            <v>3.7758868736308633E-2</v>
          </cell>
          <cell r="Y81">
            <v>52109.085714286892</v>
          </cell>
          <cell r="Z81">
            <v>97880</v>
          </cell>
          <cell r="AA81">
            <v>102815</v>
          </cell>
        </row>
        <row r="82">
          <cell r="C82">
            <v>2002</v>
          </cell>
          <cell r="D82" t="str">
            <v>Nether Edge Primary School</v>
          </cell>
          <cell r="E82">
            <v>404</v>
          </cell>
          <cell r="F82">
            <v>419</v>
          </cell>
          <cell r="G82">
            <v>15</v>
          </cell>
          <cell r="I82">
            <v>1852889.9775612394</v>
          </cell>
          <cell r="J82">
            <v>4586.3613305971276</v>
          </cell>
          <cell r="K82">
            <v>52218</v>
          </cell>
          <cell r="L82">
            <v>129.25247524752476</v>
          </cell>
          <cell r="M82">
            <v>1905107.9775612394</v>
          </cell>
          <cell r="N82">
            <v>4715.6138058446522</v>
          </cell>
          <cell r="O82">
            <v>1980137.937829579</v>
          </cell>
          <cell r="P82">
            <v>65811</v>
          </cell>
          <cell r="Q82">
            <v>2045948.937829579</v>
          </cell>
          <cell r="R82">
            <v>4725.8662000705945</v>
          </cell>
          <cell r="S82">
            <v>10.252394225942226</v>
          </cell>
          <cell r="T82">
            <v>2E-3</v>
          </cell>
          <cell r="U82">
            <v>75029.960268339608</v>
          </cell>
          <cell r="V82">
            <v>4882.9330258462505</v>
          </cell>
          <cell r="W82">
            <v>167.3192200015983</v>
          </cell>
          <cell r="X82">
            <v>3.5481959908213553E-2</v>
          </cell>
          <cell r="Y82">
            <v>140840.96026833961</v>
          </cell>
          <cell r="Z82">
            <v>153015</v>
          </cell>
          <cell r="AA82">
            <v>160745</v>
          </cell>
        </row>
        <row r="83">
          <cell r="C83">
            <v>2221</v>
          </cell>
          <cell r="D83" t="str">
            <v>Nether Green Infant School</v>
          </cell>
          <cell r="E83">
            <v>211</v>
          </cell>
          <cell r="F83">
            <v>223</v>
          </cell>
          <cell r="G83">
            <v>12</v>
          </cell>
          <cell r="I83">
            <v>957664.25136760541</v>
          </cell>
          <cell r="J83">
            <v>4538.693134443628</v>
          </cell>
          <cell r="K83">
            <v>25337</v>
          </cell>
          <cell r="L83">
            <v>120.08056872037915</v>
          </cell>
          <cell r="M83">
            <v>983001.25136760541</v>
          </cell>
          <cell r="N83">
            <v>4658.7737031640063</v>
          </cell>
          <cell r="O83">
            <v>1035238.080279625</v>
          </cell>
          <cell r="P83">
            <v>32295</v>
          </cell>
          <cell r="Q83">
            <v>1067533.080279625</v>
          </cell>
          <cell r="R83">
            <v>4642.3232299534757</v>
          </cell>
          <cell r="S83">
            <v>-16.450473210530618</v>
          </cell>
          <cell r="T83">
            <v>-4.0000000000000001E-3</v>
          </cell>
          <cell r="U83">
            <v>52236.828912019613</v>
          </cell>
          <cell r="V83">
            <v>4787.1438577561657</v>
          </cell>
          <cell r="W83">
            <v>128.37015459215945</v>
          </cell>
          <cell r="X83">
            <v>2.7554494545415857E-2</v>
          </cell>
          <cell r="Y83">
            <v>84531.828912019613</v>
          </cell>
          <cell r="Z83">
            <v>31760</v>
          </cell>
          <cell r="AA83">
            <v>33355</v>
          </cell>
        </row>
        <row r="84">
          <cell r="C84">
            <v>2087</v>
          </cell>
          <cell r="D84" t="str">
            <v>Nether Green Junior School</v>
          </cell>
          <cell r="E84">
            <v>359</v>
          </cell>
          <cell r="F84">
            <v>377</v>
          </cell>
          <cell r="G84">
            <v>18</v>
          </cell>
          <cell r="I84">
            <v>1554251.9175000007</v>
          </cell>
          <cell r="J84">
            <v>4329.3925278551551</v>
          </cell>
          <cell r="K84">
            <v>41733</v>
          </cell>
          <cell r="L84">
            <v>116.24791086350974</v>
          </cell>
          <cell r="M84">
            <v>1595984.9175000007</v>
          </cell>
          <cell r="N84">
            <v>4445.6404387186649</v>
          </cell>
          <cell r="O84">
            <v>1681768.0000000002</v>
          </cell>
          <cell r="P84">
            <v>53636.999999999985</v>
          </cell>
          <cell r="Q84">
            <v>1735405.0000000002</v>
          </cell>
          <cell r="R84">
            <v>4460.9230769230771</v>
          </cell>
          <cell r="S84">
            <v>15.282638204412251</v>
          </cell>
          <cell r="T84">
            <v>3.0000000000000001E-3</v>
          </cell>
          <cell r="U84">
            <v>85783.082499999553</v>
          </cell>
          <cell r="V84">
            <v>4603.196286472149</v>
          </cell>
          <cell r="W84">
            <v>157.55584775348416</v>
          </cell>
          <cell r="X84">
            <v>3.5440528743906997E-2</v>
          </cell>
          <cell r="Y84">
            <v>139420.08249999955</v>
          </cell>
          <cell r="Z84">
            <v>53655</v>
          </cell>
          <cell r="AA84">
            <v>56365</v>
          </cell>
        </row>
        <row r="85">
          <cell r="C85">
            <v>2272</v>
          </cell>
          <cell r="D85" t="str">
            <v>Netherthorpe Primary School</v>
          </cell>
          <cell r="E85">
            <v>206</v>
          </cell>
          <cell r="F85">
            <v>217</v>
          </cell>
          <cell r="G85">
            <v>11</v>
          </cell>
          <cell r="I85">
            <v>1178315.8964416012</v>
          </cell>
          <cell r="J85">
            <v>5719.9800798135984</v>
          </cell>
          <cell r="K85">
            <v>32502</v>
          </cell>
          <cell r="L85">
            <v>157.77669902912621</v>
          </cell>
          <cell r="M85">
            <v>1210817.8964416012</v>
          </cell>
          <cell r="N85">
            <v>5877.7567788427241</v>
          </cell>
          <cell r="O85">
            <v>1289368.8522279668</v>
          </cell>
          <cell r="P85">
            <v>41877</v>
          </cell>
          <cell r="Q85">
            <v>1331245.8522279668</v>
          </cell>
          <cell r="R85">
            <v>5941.7919457509988</v>
          </cell>
          <cell r="S85">
            <v>64.035166908274732</v>
          </cell>
          <cell r="T85">
            <v>1.0999999999999999E-2</v>
          </cell>
          <cell r="U85">
            <v>78550.95578636555</v>
          </cell>
          <cell r="V85">
            <v>6134.7735125712752</v>
          </cell>
          <cell r="W85">
            <v>257.01673372855112</v>
          </cell>
          <cell r="X85">
            <v>4.372701072859897E-2</v>
          </cell>
          <cell r="Y85">
            <v>120427.95578636555</v>
          </cell>
          <cell r="Z85">
            <v>145730</v>
          </cell>
          <cell r="AA85">
            <v>153090</v>
          </cell>
        </row>
        <row r="86">
          <cell r="C86">
            <v>2309</v>
          </cell>
          <cell r="D86" t="str">
            <v>Nook Lane Junior School</v>
          </cell>
          <cell r="E86">
            <v>252</v>
          </cell>
          <cell r="F86">
            <v>243</v>
          </cell>
          <cell r="G86">
            <v>-9</v>
          </cell>
          <cell r="I86">
            <v>1108400.2699251617</v>
          </cell>
          <cell r="J86">
            <v>4398.4137695442923</v>
          </cell>
          <cell r="K86">
            <v>30079</v>
          </cell>
          <cell r="L86">
            <v>119.36111111111111</v>
          </cell>
          <cell r="M86">
            <v>1138479.2699251617</v>
          </cell>
          <cell r="N86">
            <v>4517.7748806554036</v>
          </cell>
          <cell r="O86">
            <v>1107386.6427649737</v>
          </cell>
          <cell r="P86">
            <v>36235</v>
          </cell>
          <cell r="Q86">
            <v>1143621.6427649737</v>
          </cell>
          <cell r="R86">
            <v>4557.1466780451592</v>
          </cell>
          <cell r="S86">
            <v>39.371797389755557</v>
          </cell>
          <cell r="T86">
            <v>8.9999999999999993E-3</v>
          </cell>
          <cell r="U86">
            <v>-31092.627160188043</v>
          </cell>
          <cell r="V86">
            <v>4706.261904382608</v>
          </cell>
          <cell r="W86">
            <v>188.48702372720436</v>
          </cell>
          <cell r="X86">
            <v>4.1721207609144995E-2</v>
          </cell>
          <cell r="Y86">
            <v>5142.3728398119565</v>
          </cell>
          <cell r="Z86">
            <v>41495</v>
          </cell>
          <cell r="AA86">
            <v>43585</v>
          </cell>
        </row>
        <row r="87">
          <cell r="C87">
            <v>2051</v>
          </cell>
          <cell r="D87" t="str">
            <v>Norfolk Community Primary School</v>
          </cell>
          <cell r="E87">
            <v>388</v>
          </cell>
          <cell r="F87">
            <v>384</v>
          </cell>
          <cell r="G87">
            <v>-4</v>
          </cell>
          <cell r="I87">
            <v>2035747.9561566554</v>
          </cell>
          <cell r="J87">
            <v>5246.7730828779777</v>
          </cell>
          <cell r="K87">
            <v>61036</v>
          </cell>
          <cell r="L87">
            <v>157.30927835051546</v>
          </cell>
          <cell r="M87">
            <v>2096783.9561566554</v>
          </cell>
          <cell r="N87">
            <v>5404.082361228493</v>
          </cell>
          <cell r="O87">
            <v>2140486.8878085297</v>
          </cell>
          <cell r="P87">
            <v>73501.999999999985</v>
          </cell>
          <cell r="Q87">
            <v>2213988.8878085297</v>
          </cell>
          <cell r="R87">
            <v>5574.1846036680463</v>
          </cell>
          <cell r="S87">
            <v>170.10224243955327</v>
          </cell>
          <cell r="T87">
            <v>3.1E-2</v>
          </cell>
          <cell r="U87">
            <v>43702.931651874213</v>
          </cell>
          <cell r="V87">
            <v>5765.5960620013793</v>
          </cell>
          <cell r="W87">
            <v>361.5137007728863</v>
          </cell>
          <cell r="X87">
            <v>6.6896408420153042E-2</v>
          </cell>
          <cell r="Y87">
            <v>117204.93165187421</v>
          </cell>
          <cell r="Z87">
            <v>320960</v>
          </cell>
          <cell r="AA87">
            <v>337180</v>
          </cell>
        </row>
        <row r="88">
          <cell r="C88">
            <v>3010</v>
          </cell>
          <cell r="D88" t="str">
            <v>Norton Free Church of England Primary School</v>
          </cell>
          <cell r="E88">
            <v>209</v>
          </cell>
          <cell r="F88">
            <v>213</v>
          </cell>
          <cell r="G88">
            <v>4</v>
          </cell>
          <cell r="I88">
            <v>944404.95450062025</v>
          </cell>
          <cell r="J88">
            <v>4518.6839928259342</v>
          </cell>
          <cell r="K88">
            <v>26248</v>
          </cell>
          <cell r="L88">
            <v>125.58851674641149</v>
          </cell>
          <cell r="M88">
            <v>970652.95450062025</v>
          </cell>
          <cell r="N88">
            <v>4644.2725095723454</v>
          </cell>
          <cell r="O88">
            <v>990962.7332496423</v>
          </cell>
          <cell r="P88">
            <v>32456.999999999993</v>
          </cell>
          <cell r="Q88">
            <v>1023419.7332496423</v>
          </cell>
          <cell r="R88">
            <v>4652.4071983551285</v>
          </cell>
          <cell r="S88">
            <v>8.1346887827830869</v>
          </cell>
          <cell r="T88">
            <v>2E-3</v>
          </cell>
          <cell r="U88">
            <v>20309.778749022051</v>
          </cell>
          <cell r="V88">
            <v>4804.7874800452691</v>
          </cell>
          <cell r="W88">
            <v>160.51497047292378</v>
          </cell>
          <cell r="X88">
            <v>3.4561919039437318E-2</v>
          </cell>
          <cell r="Y88">
            <v>52766.778749022051</v>
          </cell>
          <cell r="Z88">
            <v>57340</v>
          </cell>
          <cell r="AA88">
            <v>60220</v>
          </cell>
        </row>
        <row r="89">
          <cell r="C89">
            <v>2018</v>
          </cell>
          <cell r="D89" t="str">
            <v>Oasis Academy Fir Vale</v>
          </cell>
          <cell r="E89">
            <v>401</v>
          </cell>
          <cell r="F89">
            <v>407</v>
          </cell>
          <cell r="G89">
            <v>6</v>
          </cell>
          <cell r="I89">
            <v>2432219.0595467887</v>
          </cell>
          <cell r="J89">
            <v>6065.3841883959822</v>
          </cell>
          <cell r="K89">
            <v>67822</v>
          </cell>
          <cell r="L89">
            <v>169.13216957605985</v>
          </cell>
          <cell r="M89">
            <v>2500041.0595467887</v>
          </cell>
          <cell r="N89">
            <v>6234.516357972042</v>
          </cell>
          <cell r="O89">
            <v>2598454.5743972347</v>
          </cell>
          <cell r="P89">
            <v>86014.999999999985</v>
          </cell>
          <cell r="Q89">
            <v>2684469.5743972347</v>
          </cell>
          <cell r="R89">
            <v>6384.4092737032797</v>
          </cell>
          <cell r="S89">
            <v>149.89291573123774</v>
          </cell>
          <cell r="T89">
            <v>2.4E-2</v>
          </cell>
          <cell r="U89">
            <v>98413.514850446023</v>
          </cell>
          <cell r="V89">
            <v>6595.7483400423462</v>
          </cell>
          <cell r="W89">
            <v>361.23198207030418</v>
          </cell>
          <cell r="X89">
            <v>5.7940658317208328E-2</v>
          </cell>
          <cell r="Y89">
            <v>184428.51485044602</v>
          </cell>
          <cell r="Z89">
            <v>411345</v>
          </cell>
          <cell r="AA89">
            <v>432135</v>
          </cell>
        </row>
        <row r="90">
          <cell r="C90">
            <v>2019</v>
          </cell>
          <cell r="D90" t="str">
            <v>Oasis Academy Watermead</v>
          </cell>
          <cell r="E90">
            <v>377</v>
          </cell>
          <cell r="F90">
            <v>380</v>
          </cell>
          <cell r="G90">
            <v>3</v>
          </cell>
          <cell r="I90">
            <v>1981985.960881233</v>
          </cell>
          <cell r="J90">
            <v>5257.2571906664007</v>
          </cell>
          <cell r="K90">
            <v>58779</v>
          </cell>
          <cell r="L90">
            <v>155.91246684350133</v>
          </cell>
          <cell r="M90">
            <v>2040764.960881233</v>
          </cell>
          <cell r="N90">
            <v>5413.1696575099022</v>
          </cell>
          <cell r="O90">
            <v>2065488.546102236</v>
          </cell>
          <cell r="P90">
            <v>70010</v>
          </cell>
          <cell r="Q90">
            <v>2135498.546102236</v>
          </cell>
          <cell r="R90">
            <v>5435.4961739532528</v>
          </cell>
          <cell r="S90">
            <v>22.326516443350556</v>
          </cell>
          <cell r="T90">
            <v>4.0000000000000001E-3</v>
          </cell>
          <cell r="U90">
            <v>24723.585221003043</v>
          </cell>
          <cell r="V90">
            <v>5619.7330160585161</v>
          </cell>
          <cell r="W90">
            <v>206.56335854861391</v>
          </cell>
          <cell r="X90">
            <v>3.8159409665285561E-2</v>
          </cell>
          <cell r="Y90">
            <v>94733.585221003043</v>
          </cell>
          <cell r="Z90">
            <v>294580</v>
          </cell>
          <cell r="AA90">
            <v>309465</v>
          </cell>
        </row>
        <row r="91">
          <cell r="C91">
            <v>2313</v>
          </cell>
          <cell r="D91" t="str">
            <v>Oughtibridge Primary School</v>
          </cell>
          <cell r="E91">
            <v>416</v>
          </cell>
          <cell r="F91">
            <v>417</v>
          </cell>
          <cell r="G91">
            <v>1</v>
          </cell>
          <cell r="I91">
            <v>1780896.0000000002</v>
          </cell>
          <cell r="J91">
            <v>4281.0000000000009</v>
          </cell>
          <cell r="K91">
            <v>47177</v>
          </cell>
          <cell r="L91">
            <v>113.40625</v>
          </cell>
          <cell r="M91">
            <v>1828073.0000000002</v>
          </cell>
          <cell r="N91">
            <v>4394.4062500000009</v>
          </cell>
          <cell r="O91">
            <v>1843541.0000000005</v>
          </cell>
          <cell r="P91">
            <v>57877</v>
          </cell>
          <cell r="Q91">
            <v>1901418.0000000005</v>
          </cell>
          <cell r="R91">
            <v>4420.9616306954449</v>
          </cell>
          <cell r="S91">
            <v>26.555380695444001</v>
          </cell>
          <cell r="T91">
            <v>6.0000000000000001E-3</v>
          </cell>
          <cell r="U91">
            <v>15468.000000000233</v>
          </cell>
          <cell r="V91">
            <v>4559.7553956834545</v>
          </cell>
          <cell r="W91">
            <v>165.34914568345357</v>
          </cell>
          <cell r="X91">
            <v>3.762718699106473E-2</v>
          </cell>
          <cell r="Y91">
            <v>73345.000000000233</v>
          </cell>
          <cell r="Z91">
            <v>61910</v>
          </cell>
          <cell r="AA91">
            <v>65030</v>
          </cell>
        </row>
        <row r="92">
          <cell r="C92">
            <v>2093</v>
          </cell>
          <cell r="D92" t="str">
            <v>Owler Brook Primary School</v>
          </cell>
          <cell r="E92">
            <v>384</v>
          </cell>
          <cell r="F92">
            <v>400</v>
          </cell>
          <cell r="G92">
            <v>16</v>
          </cell>
          <cell r="I92">
            <v>2234787.2832598905</v>
          </cell>
          <cell r="J92">
            <v>5819.7585501559652</v>
          </cell>
          <cell r="K92">
            <v>59968</v>
          </cell>
          <cell r="L92">
            <v>156.16666666666666</v>
          </cell>
          <cell r="M92">
            <v>2294755.2832598905</v>
          </cell>
          <cell r="N92">
            <v>5975.9252168226312</v>
          </cell>
          <cell r="O92">
            <v>2511168.4266095897</v>
          </cell>
          <cell r="P92">
            <v>77382</v>
          </cell>
          <cell r="Q92">
            <v>2588550.4266095897</v>
          </cell>
          <cell r="R92">
            <v>6277.9210665239743</v>
          </cell>
          <cell r="S92">
            <v>301.9958497013431</v>
          </cell>
          <cell r="T92">
            <v>5.0999999999999997E-2</v>
          </cell>
          <cell r="U92">
            <v>216413.14334969921</v>
          </cell>
          <cell r="V92">
            <v>6471.3760665239743</v>
          </cell>
          <cell r="W92">
            <v>495.45084970134303</v>
          </cell>
          <cell r="X92">
            <v>8.2907806193192574E-2</v>
          </cell>
          <cell r="Y92">
            <v>293795.14334969921</v>
          </cell>
          <cell r="Z92">
            <v>307470</v>
          </cell>
          <cell r="AA92">
            <v>323010</v>
          </cell>
        </row>
        <row r="93">
          <cell r="C93">
            <v>3428</v>
          </cell>
          <cell r="D93" t="str">
            <v>Parson Cross Church of England Primary School</v>
          </cell>
          <cell r="E93">
            <v>201</v>
          </cell>
          <cell r="F93">
            <v>203</v>
          </cell>
          <cell r="G93">
            <v>2</v>
          </cell>
          <cell r="I93">
            <v>970921.50537315826</v>
          </cell>
          <cell r="J93">
            <v>4830.4552506127275</v>
          </cell>
          <cell r="K93">
            <v>28192</v>
          </cell>
          <cell r="L93">
            <v>140.25870646766168</v>
          </cell>
          <cell r="M93">
            <v>999113.50537315826</v>
          </cell>
          <cell r="N93">
            <v>4970.7139570803893</v>
          </cell>
          <cell r="O93">
            <v>1021640.1485115754</v>
          </cell>
          <cell r="P93">
            <v>34179.000000000007</v>
          </cell>
          <cell r="Q93">
            <v>1055819.1485115755</v>
          </cell>
          <cell r="R93">
            <v>5032.710091190027</v>
          </cell>
          <cell r="S93">
            <v>61.996134109637751</v>
          </cell>
          <cell r="T93">
            <v>1.2E-2</v>
          </cell>
          <cell r="U93">
            <v>22526.643138417159</v>
          </cell>
          <cell r="V93">
            <v>5201.0795493181058</v>
          </cell>
          <cell r="W93">
            <v>230.36559223771656</v>
          </cell>
          <cell r="X93">
            <v>4.6344568250518414E-2</v>
          </cell>
          <cell r="Y93">
            <v>56705.643138417276</v>
          </cell>
          <cell r="Z93">
            <v>87560</v>
          </cell>
          <cell r="AA93">
            <v>91980</v>
          </cell>
        </row>
        <row r="94">
          <cell r="C94">
            <v>2332</v>
          </cell>
          <cell r="D94" t="str">
            <v>Phillimore Community Primary School</v>
          </cell>
          <cell r="E94">
            <v>413</v>
          </cell>
          <cell r="F94">
            <v>388</v>
          </cell>
          <cell r="G94">
            <v>-25</v>
          </cell>
          <cell r="I94">
            <v>2201918.9406852825</v>
          </cell>
          <cell r="J94">
            <v>5331.5228588021364</v>
          </cell>
          <cell r="K94">
            <v>65161</v>
          </cell>
          <cell r="L94">
            <v>157.77481840193704</v>
          </cell>
          <cell r="M94">
            <v>2267079.9406852825</v>
          </cell>
          <cell r="N94">
            <v>5489.2976772040738</v>
          </cell>
          <cell r="O94">
            <v>2167430.8810654846</v>
          </cell>
          <cell r="P94">
            <v>74497.999999999985</v>
          </cell>
          <cell r="Q94">
            <v>2241928.8810654846</v>
          </cell>
          <cell r="R94">
            <v>5586.1620646017645</v>
          </cell>
          <cell r="S94">
            <v>96.864387397690734</v>
          </cell>
          <cell r="T94">
            <v>1.7999999999999999E-2</v>
          </cell>
          <cell r="U94">
            <v>-99649.059619797859</v>
          </cell>
          <cell r="V94">
            <v>5778.1672192409396</v>
          </cell>
          <cell r="W94">
            <v>288.86954203686582</v>
          </cell>
          <cell r="X94">
            <v>5.2624135003004432E-2</v>
          </cell>
          <cell r="Y94">
            <v>-25151.059619797859</v>
          </cell>
          <cell r="Z94">
            <v>353120</v>
          </cell>
          <cell r="AA94">
            <v>370960</v>
          </cell>
        </row>
        <row r="95">
          <cell r="C95">
            <v>3433</v>
          </cell>
          <cell r="D95" t="str">
            <v>Pipworth Community Primary School</v>
          </cell>
          <cell r="E95">
            <v>410</v>
          </cell>
          <cell r="F95">
            <v>394</v>
          </cell>
          <cell r="G95">
            <v>-16</v>
          </cell>
          <cell r="I95">
            <v>2163599.4122901116</v>
          </cell>
          <cell r="J95">
            <v>5277.0717372929548</v>
          </cell>
          <cell r="K95">
            <v>65380</v>
          </cell>
          <cell r="L95">
            <v>159.46341463414635</v>
          </cell>
          <cell r="M95">
            <v>2228979.4122901116</v>
          </cell>
          <cell r="N95">
            <v>5436.5351519271017</v>
          </cell>
          <cell r="O95">
            <v>2197585.9701188668</v>
          </cell>
          <cell r="P95">
            <v>76356.000000000029</v>
          </cell>
          <cell r="Q95">
            <v>2273941.9701188668</v>
          </cell>
          <cell r="R95">
            <v>5577.629365783926</v>
          </cell>
          <cell r="S95">
            <v>141.09421385682435</v>
          </cell>
          <cell r="T95">
            <v>2.5999999999999999E-2</v>
          </cell>
          <cell r="U95">
            <v>-31393.442171244882</v>
          </cell>
          <cell r="V95">
            <v>5771.426320098647</v>
          </cell>
          <cell r="W95">
            <v>334.89116817154536</v>
          </cell>
          <cell r="X95">
            <v>6.1600110881805975E-2</v>
          </cell>
          <cell r="Y95">
            <v>44962.557828755118</v>
          </cell>
          <cell r="Z95">
            <v>354560</v>
          </cell>
          <cell r="AA95">
            <v>372480</v>
          </cell>
        </row>
        <row r="96">
          <cell r="C96">
            <v>3427</v>
          </cell>
          <cell r="D96" t="str">
            <v>Porter Croft Church of England Primary Academy</v>
          </cell>
          <cell r="E96">
            <v>213</v>
          </cell>
          <cell r="F96">
            <v>214</v>
          </cell>
          <cell r="G96">
            <v>1</v>
          </cell>
          <cell r="I96">
            <v>1097116.4131864018</v>
          </cell>
          <cell r="J96">
            <v>5150.7812825652672</v>
          </cell>
          <cell r="K96">
            <v>31821</v>
          </cell>
          <cell r="L96">
            <v>149.3943661971831</v>
          </cell>
          <cell r="M96">
            <v>1128937.4131864018</v>
          </cell>
          <cell r="N96">
            <v>5300.1756487624498</v>
          </cell>
          <cell r="O96">
            <v>1154888.4920856419</v>
          </cell>
          <cell r="P96">
            <v>38399.999999999993</v>
          </cell>
          <cell r="Q96">
            <v>1193288.4920856419</v>
          </cell>
          <cell r="R96">
            <v>5396.6751966618785</v>
          </cell>
          <cell r="S96">
            <v>96.499547899428762</v>
          </cell>
          <cell r="T96">
            <v>1.7999999999999999E-2</v>
          </cell>
          <cell r="U96">
            <v>25951.078899240121</v>
          </cell>
          <cell r="V96">
            <v>5576.1144489983271</v>
          </cell>
          <cell r="W96">
            <v>275.93880023587735</v>
          </cell>
          <cell r="X96">
            <v>5.2062199165098792E-2</v>
          </cell>
          <cell r="Y96">
            <v>64351.078899240121</v>
          </cell>
          <cell r="Z96">
            <v>126700</v>
          </cell>
          <cell r="AA96">
            <v>133100</v>
          </cell>
        </row>
        <row r="97">
          <cell r="C97">
            <v>2347</v>
          </cell>
          <cell r="D97" t="str">
            <v>Prince Edward Primary School</v>
          </cell>
          <cell r="E97">
            <v>411</v>
          </cell>
          <cell r="F97">
            <v>407</v>
          </cell>
          <cell r="G97">
            <v>-4</v>
          </cell>
          <cell r="I97">
            <v>2140412.9962614505</v>
          </cell>
          <cell r="J97">
            <v>5207.8175091519479</v>
          </cell>
          <cell r="K97">
            <v>62587</v>
          </cell>
          <cell r="L97">
            <v>152.27980535279806</v>
          </cell>
          <cell r="M97">
            <v>2202999.9962614505</v>
          </cell>
          <cell r="N97">
            <v>5360.0973145047456</v>
          </cell>
          <cell r="O97">
            <v>2244192.3159485469</v>
          </cell>
          <cell r="P97">
            <v>76030.999999999971</v>
          </cell>
          <cell r="Q97">
            <v>2320223.3159485469</v>
          </cell>
          <cell r="R97">
            <v>5513.9860342716138</v>
          </cell>
          <cell r="S97">
            <v>153.88871976686823</v>
          </cell>
          <cell r="T97">
            <v>2.9000000000000001E-2</v>
          </cell>
          <cell r="U97">
            <v>41192.319687096402</v>
          </cell>
          <cell r="V97">
            <v>5700.7943880799676</v>
          </cell>
          <cell r="W97">
            <v>340.69707357522202</v>
          </cell>
          <cell r="X97">
            <v>6.3561732853856079E-2</v>
          </cell>
          <cell r="Y97">
            <v>117223.3196870964</v>
          </cell>
          <cell r="Z97">
            <v>311930</v>
          </cell>
          <cell r="AA97">
            <v>327690</v>
          </cell>
        </row>
        <row r="98">
          <cell r="C98">
            <v>2366</v>
          </cell>
          <cell r="D98" t="str">
            <v>Pye Bank CofE Primary School</v>
          </cell>
          <cell r="E98">
            <v>393</v>
          </cell>
          <cell r="F98">
            <v>423</v>
          </cell>
          <cell r="G98">
            <v>30</v>
          </cell>
          <cell r="I98">
            <v>2001705.0252124553</v>
          </cell>
          <cell r="J98">
            <v>5093.397010718716</v>
          </cell>
          <cell r="K98">
            <v>60161</v>
          </cell>
          <cell r="L98">
            <v>153.08142493638678</v>
          </cell>
          <cell r="M98">
            <v>2061866.0252124553</v>
          </cell>
          <cell r="N98">
            <v>5246.4784356551027</v>
          </cell>
          <cell r="O98">
            <v>2261914.8752561812</v>
          </cell>
          <cell r="P98">
            <v>78974.999999999985</v>
          </cell>
          <cell r="Q98">
            <v>2340889.8752561812</v>
          </cell>
          <cell r="R98">
            <v>5347.3164899673311</v>
          </cell>
          <cell r="S98">
            <v>100.83805431222845</v>
          </cell>
          <cell r="T98">
            <v>1.9E-2</v>
          </cell>
          <cell r="U98">
            <v>200048.85004372592</v>
          </cell>
          <cell r="V98">
            <v>5534.0186176269062</v>
          </cell>
          <cell r="W98">
            <v>287.54018197180358</v>
          </cell>
          <cell r="X98">
            <v>5.4806321134892803E-2</v>
          </cell>
          <cell r="Y98">
            <v>279023.85004372592</v>
          </cell>
          <cell r="Z98">
            <v>299160</v>
          </cell>
          <cell r="AA98">
            <v>314280</v>
          </cell>
        </row>
        <row r="99">
          <cell r="C99">
            <v>2363</v>
          </cell>
          <cell r="D99" t="str">
            <v>Rainbow Forge Primary Academy</v>
          </cell>
          <cell r="E99">
            <v>288</v>
          </cell>
          <cell r="F99">
            <v>297</v>
          </cell>
          <cell r="G99">
            <v>9</v>
          </cell>
          <cell r="I99">
            <v>1381886.6558065803</v>
          </cell>
          <cell r="J99">
            <v>4798.2175548839596</v>
          </cell>
          <cell r="K99">
            <v>43006</v>
          </cell>
          <cell r="L99">
            <v>149.32638888888889</v>
          </cell>
          <cell r="M99">
            <v>1424892.6558065803</v>
          </cell>
          <cell r="N99">
            <v>4947.5439437728483</v>
          </cell>
          <cell r="O99">
            <v>1472246.8149170803</v>
          </cell>
          <cell r="P99">
            <v>54412.999999999985</v>
          </cell>
          <cell r="Q99">
            <v>1526659.8149170803</v>
          </cell>
          <cell r="R99">
            <v>4957.0599828857921</v>
          </cell>
          <cell r="S99">
            <v>9.5160391129438722</v>
          </cell>
          <cell r="T99">
            <v>2E-3</v>
          </cell>
          <cell r="U99">
            <v>47354.159110500012</v>
          </cell>
          <cell r="V99">
            <v>5140.2687370945469</v>
          </cell>
          <cell r="W99">
            <v>192.7247933216986</v>
          </cell>
          <cell r="X99">
            <v>3.8953629419354374E-2</v>
          </cell>
          <cell r="Y99">
            <v>101767.15911050001</v>
          </cell>
          <cell r="Z99">
            <v>188200</v>
          </cell>
          <cell r="AA99">
            <v>197700</v>
          </cell>
        </row>
        <row r="100">
          <cell r="C100">
            <v>2334</v>
          </cell>
          <cell r="D100" t="str">
            <v>Reignhead Primary School</v>
          </cell>
          <cell r="E100">
            <v>264</v>
          </cell>
          <cell r="F100">
            <v>244</v>
          </cell>
          <cell r="G100">
            <v>-20</v>
          </cell>
          <cell r="I100">
            <v>1267087.2260568088</v>
          </cell>
          <cell r="J100">
            <v>4799.5728259727612</v>
          </cell>
          <cell r="K100">
            <v>37278</v>
          </cell>
          <cell r="L100">
            <v>141.20454545454547</v>
          </cell>
          <cell r="M100">
            <v>1304365.2260568088</v>
          </cell>
          <cell r="N100">
            <v>4940.7773714273062</v>
          </cell>
          <cell r="O100">
            <v>1222904.6124759493</v>
          </cell>
          <cell r="P100">
            <v>42281.999999999993</v>
          </cell>
          <cell r="Q100">
            <v>1265186.6124759493</v>
          </cell>
          <cell r="R100">
            <v>5011.9041494915955</v>
          </cell>
          <cell r="S100">
            <v>71.126778064289283</v>
          </cell>
          <cell r="T100">
            <v>1.4E-2</v>
          </cell>
          <cell r="U100">
            <v>-81460.613580859499</v>
          </cell>
          <cell r="V100">
            <v>5185.1910347374969</v>
          </cell>
          <cell r="W100">
            <v>244.41366331019071</v>
          </cell>
          <cell r="X100">
            <v>4.9468665543127635E-2</v>
          </cell>
          <cell r="Y100">
            <v>-39178.613580859499</v>
          </cell>
          <cell r="Z100">
            <v>141880</v>
          </cell>
          <cell r="AA100">
            <v>149040</v>
          </cell>
        </row>
        <row r="101">
          <cell r="C101">
            <v>2338</v>
          </cell>
          <cell r="D101" t="str">
            <v>Rivelin Primary School</v>
          </cell>
          <cell r="E101">
            <v>318</v>
          </cell>
          <cell r="F101">
            <v>351</v>
          </cell>
          <cell r="G101">
            <v>33</v>
          </cell>
          <cell r="I101">
            <v>1435750.4152749497</v>
          </cell>
          <cell r="J101">
            <v>4514.9384128143074</v>
          </cell>
          <cell r="K101">
            <v>40646</v>
          </cell>
          <cell r="L101">
            <v>127.81761006289308</v>
          </cell>
          <cell r="M101">
            <v>1476396.4152749497</v>
          </cell>
          <cell r="N101">
            <v>4642.7560228772008</v>
          </cell>
          <cell r="O101">
            <v>1636634.1321575602</v>
          </cell>
          <cell r="P101">
            <v>53247.000000000007</v>
          </cell>
          <cell r="Q101">
            <v>1689881.1321575602</v>
          </cell>
          <cell r="R101">
            <v>4662.7753052921944</v>
          </cell>
          <cell r="S101">
            <v>20.01928241499354</v>
          </cell>
          <cell r="T101">
            <v>4.0000000000000001E-3</v>
          </cell>
          <cell r="U101">
            <v>160237.71688261046</v>
          </cell>
          <cell r="V101">
            <v>4814.4761599930489</v>
          </cell>
          <cell r="W101">
            <v>171.72013711584805</v>
          </cell>
          <cell r="X101">
            <v>3.6986681244867557E-2</v>
          </cell>
          <cell r="Y101">
            <v>213484.71688261046</v>
          </cell>
          <cell r="Z101">
            <v>101770</v>
          </cell>
          <cell r="AA101">
            <v>106910</v>
          </cell>
        </row>
        <row r="102">
          <cell r="C102">
            <v>2306</v>
          </cell>
          <cell r="D102" t="str">
            <v>Royd Nursery and Infant School</v>
          </cell>
          <cell r="E102">
            <v>130</v>
          </cell>
          <cell r="F102">
            <v>122</v>
          </cell>
          <cell r="G102">
            <v>-8</v>
          </cell>
          <cell r="I102">
            <v>655939.91047653975</v>
          </cell>
          <cell r="J102">
            <v>5045.6916190503061</v>
          </cell>
          <cell r="K102">
            <v>18755</v>
          </cell>
          <cell r="L102">
            <v>144.26923076923077</v>
          </cell>
          <cell r="M102">
            <v>674694.91047653975</v>
          </cell>
          <cell r="N102">
            <v>5189.9608498195366</v>
          </cell>
          <cell r="O102">
            <v>649226.71242091618</v>
          </cell>
          <cell r="P102">
            <v>22252.000000000004</v>
          </cell>
          <cell r="Q102">
            <v>671478.71242091618</v>
          </cell>
          <cell r="R102">
            <v>5321.5304296796412</v>
          </cell>
          <cell r="S102">
            <v>131.56957986010457</v>
          </cell>
          <cell r="T102">
            <v>2.5000000000000001E-2</v>
          </cell>
          <cell r="U102">
            <v>-25468.198055623565</v>
          </cell>
          <cell r="V102">
            <v>5503.9238723025919</v>
          </cell>
          <cell r="W102">
            <v>313.96302248305528</v>
          </cell>
          <cell r="X102">
            <v>6.0494294960620421E-2</v>
          </cell>
          <cell r="Y102">
            <v>-3216.1980556235649</v>
          </cell>
          <cell r="Z102">
            <v>40165</v>
          </cell>
          <cell r="AA102">
            <v>42195</v>
          </cell>
        </row>
        <row r="103">
          <cell r="C103">
            <v>3401</v>
          </cell>
          <cell r="D103" t="str">
            <v>Sacred Heart School, A Catholic Voluntary Academy</v>
          </cell>
          <cell r="E103">
            <v>206</v>
          </cell>
          <cell r="F103">
            <v>200</v>
          </cell>
          <cell r="G103">
            <v>-6</v>
          </cell>
          <cell r="I103">
            <v>954235.08239478152</v>
          </cell>
          <cell r="J103">
            <v>4632.2091378387449</v>
          </cell>
          <cell r="K103">
            <v>26722</v>
          </cell>
          <cell r="L103">
            <v>129.71844660194174</v>
          </cell>
          <cell r="M103">
            <v>980957.08239478152</v>
          </cell>
          <cell r="N103">
            <v>4761.9275844406866</v>
          </cell>
          <cell r="O103">
            <v>960722.15196180344</v>
          </cell>
          <cell r="P103">
            <v>32262</v>
          </cell>
          <cell r="Q103">
            <v>992984.15196180344</v>
          </cell>
          <cell r="R103">
            <v>4803.6107598090175</v>
          </cell>
          <cell r="S103">
            <v>41.683175368330922</v>
          </cell>
          <cell r="T103">
            <v>8.9999999999999993E-3</v>
          </cell>
          <cell r="U103">
            <v>-20234.930432978086</v>
          </cell>
          <cell r="V103">
            <v>4964.920759809017</v>
          </cell>
          <cell r="W103">
            <v>202.99317536833041</v>
          </cell>
          <cell r="X103">
            <v>4.2628362521009024E-2</v>
          </cell>
          <cell r="Y103">
            <v>12027.069567021914</v>
          </cell>
          <cell r="Z103">
            <v>56730</v>
          </cell>
          <cell r="AA103">
            <v>59590</v>
          </cell>
        </row>
        <row r="104">
          <cell r="C104">
            <v>2369</v>
          </cell>
          <cell r="D104" t="str">
            <v>Sharrow Nursery, Infant and Junior School</v>
          </cell>
          <cell r="E104">
            <v>415</v>
          </cell>
          <cell r="F104">
            <v>417</v>
          </cell>
          <cell r="G104">
            <v>2</v>
          </cell>
          <cell r="I104">
            <v>2070852.48844062</v>
          </cell>
          <cell r="J104">
            <v>4990.0059962424575</v>
          </cell>
          <cell r="K104">
            <v>57875</v>
          </cell>
          <cell r="L104">
            <v>139.45783132530121</v>
          </cell>
          <cell r="M104">
            <v>2128727.4884406198</v>
          </cell>
          <cell r="N104">
            <v>5129.4638275677589</v>
          </cell>
          <cell r="O104">
            <v>2159794.7465985669</v>
          </cell>
          <cell r="P104">
            <v>71085.000000000015</v>
          </cell>
          <cell r="Q104">
            <v>2230879.7465985669</v>
          </cell>
          <cell r="R104">
            <v>5179.3639007159882</v>
          </cell>
          <cell r="S104">
            <v>49.900073148229239</v>
          </cell>
          <cell r="T104">
            <v>0.01</v>
          </cell>
          <cell r="U104">
            <v>31067.258157947101</v>
          </cell>
          <cell r="V104">
            <v>5349.8315266152686</v>
          </cell>
          <cell r="W104">
            <v>220.36769904750963</v>
          </cell>
          <cell r="X104">
            <v>4.2961156654067197E-2</v>
          </cell>
          <cell r="Y104">
            <v>102152.2581579471</v>
          </cell>
          <cell r="Z104">
            <v>228165</v>
          </cell>
          <cell r="AA104">
            <v>239695</v>
          </cell>
        </row>
        <row r="105">
          <cell r="C105">
            <v>2349</v>
          </cell>
          <cell r="D105" t="str">
            <v>Shooter's Grove Primary School</v>
          </cell>
          <cell r="E105">
            <v>354</v>
          </cell>
          <cell r="F105">
            <v>359</v>
          </cell>
          <cell r="G105">
            <v>5</v>
          </cell>
          <cell r="I105">
            <v>1587858.7383692297</v>
          </cell>
          <cell r="J105">
            <v>4485.4766620599712</v>
          </cell>
          <cell r="K105">
            <v>46263</v>
          </cell>
          <cell r="L105">
            <v>130.68644067796609</v>
          </cell>
          <cell r="M105">
            <v>1634121.7383692297</v>
          </cell>
          <cell r="N105">
            <v>4616.1631027379372</v>
          </cell>
          <cell r="O105">
            <v>1662515.6581777567</v>
          </cell>
          <cell r="P105">
            <v>56591.000000000015</v>
          </cell>
          <cell r="Q105">
            <v>1719106.6581777567</v>
          </cell>
          <cell r="R105">
            <v>4630.9628361497398</v>
          </cell>
          <cell r="S105">
            <v>14.799733411802663</v>
          </cell>
          <cell r="T105">
            <v>3.0000000000000001E-3</v>
          </cell>
          <cell r="U105">
            <v>28393.919808526989</v>
          </cell>
          <cell r="V105">
            <v>4788.5979336427763</v>
          </cell>
          <cell r="W105">
            <v>172.43483090483915</v>
          </cell>
          <cell r="X105">
            <v>3.7354579348066075E-2</v>
          </cell>
          <cell r="Y105">
            <v>84984.919808526989</v>
          </cell>
          <cell r="Z105">
            <v>132960</v>
          </cell>
          <cell r="AA105">
            <v>139680</v>
          </cell>
        </row>
        <row r="106">
          <cell r="C106">
            <v>2360</v>
          </cell>
          <cell r="D106" t="str">
            <v>Shortbrook Primary School</v>
          </cell>
          <cell r="E106">
            <v>88</v>
          </cell>
          <cell r="F106">
            <v>84</v>
          </cell>
          <cell r="G106">
            <v>-4</v>
          </cell>
          <cell r="I106">
            <v>642205.44112960924</v>
          </cell>
          <cell r="J106">
            <v>7297.7891037455593</v>
          </cell>
          <cell r="K106">
            <v>17061</v>
          </cell>
          <cell r="L106">
            <v>193.875</v>
          </cell>
          <cell r="M106">
            <v>659266.44112960924</v>
          </cell>
          <cell r="N106">
            <v>7491.6641037455593</v>
          </cell>
          <cell r="O106">
            <v>638221.9627291091</v>
          </cell>
          <cell r="P106">
            <v>20226</v>
          </cell>
          <cell r="Q106">
            <v>658447.9627291091</v>
          </cell>
          <cell r="R106">
            <v>7597.8805086798702</v>
          </cell>
          <cell r="S106">
            <v>106.21640493431096</v>
          </cell>
          <cell r="T106">
            <v>1.4E-2</v>
          </cell>
          <cell r="U106">
            <v>-21044.478400500142</v>
          </cell>
          <cell r="V106">
            <v>7838.6662229655849</v>
          </cell>
          <cell r="W106">
            <v>347.00211922002563</v>
          </cell>
          <cell r="X106">
            <v>4.6318429979600555E-2</v>
          </cell>
          <cell r="Y106">
            <v>-818.47840050014202</v>
          </cell>
          <cell r="Z106">
            <v>77560</v>
          </cell>
          <cell r="AA106">
            <v>81480</v>
          </cell>
        </row>
        <row r="107">
          <cell r="C107">
            <v>2009</v>
          </cell>
          <cell r="D107" t="str">
            <v>Southey Green Primary School and Nurseries</v>
          </cell>
          <cell r="E107">
            <v>605</v>
          </cell>
          <cell r="F107">
            <v>611</v>
          </cell>
          <cell r="G107">
            <v>6</v>
          </cell>
          <cell r="I107">
            <v>3072698.1500288569</v>
          </cell>
          <cell r="J107">
            <v>5078.8399174030692</v>
          </cell>
          <cell r="K107">
            <v>92285</v>
          </cell>
          <cell r="L107">
            <v>152.53719008264463</v>
          </cell>
          <cell r="M107">
            <v>3164983.1500288569</v>
          </cell>
          <cell r="N107">
            <v>5231.3771074857141</v>
          </cell>
          <cell r="O107">
            <v>3244492.3615581174</v>
          </cell>
          <cell r="P107">
            <v>113514.99999999997</v>
          </cell>
          <cell r="Q107">
            <v>3358007.3615581174</v>
          </cell>
          <cell r="R107">
            <v>5310.1347979674592</v>
          </cell>
          <cell r="S107">
            <v>78.757690481745158</v>
          </cell>
          <cell r="T107">
            <v>1.4999999999999999E-2</v>
          </cell>
          <cell r="U107">
            <v>79509.211529260501</v>
          </cell>
          <cell r="V107">
            <v>5495.9203953488013</v>
          </cell>
          <cell r="W107">
            <v>264.54328786308724</v>
          </cell>
          <cell r="X107">
            <v>5.056857543008042E-2</v>
          </cell>
          <cell r="Y107">
            <v>193024.2115292605</v>
          </cell>
          <cell r="Z107">
            <v>487840</v>
          </cell>
          <cell r="AA107">
            <v>512495</v>
          </cell>
        </row>
        <row r="108">
          <cell r="C108">
            <v>2329</v>
          </cell>
          <cell r="D108" t="str">
            <v>Springfield Primary School</v>
          </cell>
          <cell r="E108">
            <v>209</v>
          </cell>
          <cell r="F108">
            <v>208</v>
          </cell>
          <cell r="G108">
            <v>-1</v>
          </cell>
          <cell r="I108">
            <v>1125397.6019125658</v>
          </cell>
          <cell r="J108">
            <v>5384.6775211127551</v>
          </cell>
          <cell r="K108">
            <v>31688</v>
          </cell>
          <cell r="L108">
            <v>151.61722488038276</v>
          </cell>
          <cell r="M108">
            <v>1157085.6019125658</v>
          </cell>
          <cell r="N108">
            <v>5536.2947459931374</v>
          </cell>
          <cell r="O108">
            <v>1157280.108152166</v>
          </cell>
          <cell r="P108">
            <v>38310</v>
          </cell>
          <cell r="Q108">
            <v>1195590.108152166</v>
          </cell>
          <cell r="R108">
            <v>5563.8466738084908</v>
          </cell>
          <cell r="S108">
            <v>27.551927815353338</v>
          </cell>
          <cell r="T108">
            <v>5.0000000000000001E-3</v>
          </cell>
          <cell r="U108">
            <v>194.50623960024677</v>
          </cell>
          <cell r="V108">
            <v>5748.0293661161832</v>
          </cell>
          <cell r="W108">
            <v>211.73462012304572</v>
          </cell>
          <cell r="X108">
            <v>3.8244824352295814E-2</v>
          </cell>
          <cell r="Y108">
            <v>38504.506239600247</v>
          </cell>
          <cell r="Z108">
            <v>124650</v>
          </cell>
          <cell r="AA108">
            <v>130950</v>
          </cell>
        </row>
        <row r="109">
          <cell r="C109">
            <v>5202</v>
          </cell>
          <cell r="D109" t="str">
            <v>St Ann's Catholic Primary School, A Voluntary Academy</v>
          </cell>
          <cell r="E109">
            <v>92</v>
          </cell>
          <cell r="F109">
            <v>99</v>
          </cell>
          <cell r="G109">
            <v>7</v>
          </cell>
          <cell r="I109">
            <v>498172.24343311001</v>
          </cell>
          <cell r="J109">
            <v>5414.9156894903263</v>
          </cell>
          <cell r="K109">
            <v>14134</v>
          </cell>
          <cell r="L109">
            <v>153.63043478260869</v>
          </cell>
          <cell r="M109">
            <v>512306.24343311001</v>
          </cell>
          <cell r="N109">
            <v>5568.5461242729352</v>
          </cell>
          <cell r="O109">
            <v>543431.34080844873</v>
          </cell>
          <cell r="P109">
            <v>17851.000000000004</v>
          </cell>
          <cell r="Q109">
            <v>561282.34080844873</v>
          </cell>
          <cell r="R109">
            <v>5489.2054627116031</v>
          </cell>
          <cell r="S109">
            <v>-79.340661561332126</v>
          </cell>
          <cell r="T109">
            <v>-1.4E-2</v>
          </cell>
          <cell r="U109">
            <v>31125.097375338722</v>
          </cell>
          <cell r="V109">
            <v>5669.5185940247347</v>
          </cell>
          <cell r="W109">
            <v>100.97246975179951</v>
          </cell>
          <cell r="X109">
            <v>1.8132644948681845E-2</v>
          </cell>
          <cell r="Y109">
            <v>48976.097375338722</v>
          </cell>
          <cell r="Z109">
            <v>28365</v>
          </cell>
          <cell r="AA109">
            <v>29795</v>
          </cell>
        </row>
        <row r="110">
          <cell r="C110">
            <v>3402</v>
          </cell>
          <cell r="D110" t="str">
            <v>St Catherine's Catholic Primary School (Hallam)</v>
          </cell>
          <cell r="E110">
            <v>422</v>
          </cell>
          <cell r="F110">
            <v>421</v>
          </cell>
          <cell r="G110">
            <v>-1</v>
          </cell>
          <cell r="I110">
            <v>2024067.5709408645</v>
          </cell>
          <cell r="J110">
            <v>4796.3686515186364</v>
          </cell>
          <cell r="K110">
            <v>57619</v>
          </cell>
          <cell r="L110">
            <v>136.53791469194312</v>
          </cell>
          <cell r="M110">
            <v>2081686.5709408645</v>
          </cell>
          <cell r="N110">
            <v>4932.9065662105795</v>
          </cell>
          <cell r="O110">
            <v>2125304.6381752966</v>
          </cell>
          <cell r="P110">
            <v>70936.999999999985</v>
          </cell>
          <cell r="Q110">
            <v>2196241.6381752966</v>
          </cell>
          <cell r="R110">
            <v>5048.2295443593739</v>
          </cell>
          <cell r="S110">
            <v>115.32297814879439</v>
          </cell>
          <cell r="T110">
            <v>2.3E-2</v>
          </cell>
          <cell r="U110">
            <v>43618.067234432092</v>
          </cell>
          <cell r="V110">
            <v>5216.7259814140061</v>
          </cell>
          <cell r="W110">
            <v>283.81941520342662</v>
          </cell>
          <cell r="X110">
            <v>5.7535939794102868E-2</v>
          </cell>
          <cell r="Y110">
            <v>114555.06723443209</v>
          </cell>
          <cell r="Z110">
            <v>216365</v>
          </cell>
          <cell r="AA110">
            <v>227295</v>
          </cell>
        </row>
        <row r="111">
          <cell r="C111">
            <v>2017</v>
          </cell>
          <cell r="D111" t="str">
            <v>St John Fisher Primary, A Catholic Voluntary Academy</v>
          </cell>
          <cell r="E111">
            <v>210</v>
          </cell>
          <cell r="F111">
            <v>208</v>
          </cell>
          <cell r="G111">
            <v>-2</v>
          </cell>
          <cell r="I111">
            <v>971724.1717242999</v>
          </cell>
          <cell r="J111">
            <v>4627.2579605919045</v>
          </cell>
          <cell r="K111">
            <v>27450</v>
          </cell>
          <cell r="L111">
            <v>130.71428571428572</v>
          </cell>
          <cell r="M111">
            <v>999174.1717242999</v>
          </cell>
          <cell r="N111">
            <v>4757.9722463061898</v>
          </cell>
          <cell r="O111">
            <v>995206.32385356061</v>
          </cell>
          <cell r="P111">
            <v>32902.000000000007</v>
          </cell>
          <cell r="Q111">
            <v>1028108.3238535606</v>
          </cell>
          <cell r="R111">
            <v>4784.6457877575031</v>
          </cell>
          <cell r="S111">
            <v>26.673541451313213</v>
          </cell>
          <cell r="T111">
            <v>6.0000000000000001E-3</v>
          </cell>
          <cell r="U111">
            <v>-3967.8478707392933</v>
          </cell>
          <cell r="V111">
            <v>4942.8284800651954</v>
          </cell>
          <cell r="W111">
            <v>184.85623375900559</v>
          </cell>
          <cell r="X111">
            <v>3.8851894082088667E-2</v>
          </cell>
          <cell r="Y111">
            <v>28934.152129260707</v>
          </cell>
          <cell r="Z111">
            <v>56705</v>
          </cell>
          <cell r="AA111">
            <v>59565</v>
          </cell>
        </row>
        <row r="112">
          <cell r="C112">
            <v>5203</v>
          </cell>
          <cell r="D112" t="str">
            <v>St Joseph's Primary School</v>
          </cell>
          <cell r="E112">
            <v>204</v>
          </cell>
          <cell r="F112">
            <v>207</v>
          </cell>
          <cell r="G112">
            <v>3</v>
          </cell>
          <cell r="I112">
            <v>975367.13349596353</v>
          </cell>
          <cell r="J112">
            <v>4781.2114387057036</v>
          </cell>
          <cell r="K112">
            <v>25933</v>
          </cell>
          <cell r="L112">
            <v>127.12254901960785</v>
          </cell>
          <cell r="M112">
            <v>1001300.1334959635</v>
          </cell>
          <cell r="N112">
            <v>4908.3339877253111</v>
          </cell>
          <cell r="O112">
            <v>1018512.8404305532</v>
          </cell>
          <cell r="P112">
            <v>32263</v>
          </cell>
          <cell r="Q112">
            <v>1050775.8404305531</v>
          </cell>
          <cell r="R112">
            <v>4920.351886137938</v>
          </cell>
          <cell r="S112">
            <v>12.017898412626892</v>
          </cell>
          <cell r="T112">
            <v>2E-3</v>
          </cell>
          <cell r="U112">
            <v>17212.70693458966</v>
          </cell>
          <cell r="V112">
            <v>5076.2117895195797</v>
          </cell>
          <cell r="W112">
            <v>167.87780179426863</v>
          </cell>
          <cell r="X112">
            <v>3.4202603615421233E-2</v>
          </cell>
          <cell r="Y112">
            <v>49475.706934589543</v>
          </cell>
          <cell r="Z112">
            <v>43600</v>
          </cell>
          <cell r="AA112">
            <v>45800</v>
          </cell>
        </row>
        <row r="113">
          <cell r="C113">
            <v>3406</v>
          </cell>
          <cell r="D113" t="str">
            <v>St Marie's School, A Catholic Voluntary Academy</v>
          </cell>
          <cell r="E113">
            <v>217</v>
          </cell>
          <cell r="F113">
            <v>216</v>
          </cell>
          <cell r="G113">
            <v>-1</v>
          </cell>
          <cell r="I113">
            <v>962330.92549959675</v>
          </cell>
          <cell r="J113">
            <v>4434.7047258045932</v>
          </cell>
          <cell r="K113">
            <v>26599</v>
          </cell>
          <cell r="L113">
            <v>122.57603686635944</v>
          </cell>
          <cell r="M113">
            <v>988929.92549959675</v>
          </cell>
          <cell r="N113">
            <v>4557.2807626709528</v>
          </cell>
          <cell r="O113">
            <v>989245.30696521874</v>
          </cell>
          <cell r="P113">
            <v>33022</v>
          </cell>
          <cell r="Q113">
            <v>1022267.3069652187</v>
          </cell>
          <cell r="R113">
            <v>4579.8393840982353</v>
          </cell>
          <cell r="S113">
            <v>22.55862142728256</v>
          </cell>
          <cell r="T113">
            <v>5.0000000000000001E-3</v>
          </cell>
          <cell r="U113">
            <v>315.38146562199108</v>
          </cell>
          <cell r="V113">
            <v>4732.7190137278649</v>
          </cell>
          <cell r="W113">
            <v>175.43825105691212</v>
          </cell>
          <cell r="X113">
            <v>3.8496256911345186E-2</v>
          </cell>
          <cell r="Y113">
            <v>33337.381465621991</v>
          </cell>
          <cell r="Z113">
            <v>37700</v>
          </cell>
          <cell r="AA113">
            <v>39600</v>
          </cell>
        </row>
        <row r="114">
          <cell r="C114">
            <v>2020</v>
          </cell>
          <cell r="D114" t="str">
            <v>St Mary's Church of England Primary School</v>
          </cell>
          <cell r="E114">
            <v>197</v>
          </cell>
          <cell r="F114">
            <v>204</v>
          </cell>
          <cell r="G114">
            <v>7</v>
          </cell>
          <cell r="I114">
            <v>981285.74307051639</v>
          </cell>
          <cell r="J114">
            <v>4981.1459039112506</v>
          </cell>
          <cell r="K114">
            <v>28229</v>
          </cell>
          <cell r="L114">
            <v>143.29441624365481</v>
          </cell>
          <cell r="M114">
            <v>1009514.7430705164</v>
          </cell>
          <cell r="N114">
            <v>5124.4403201549057</v>
          </cell>
          <cell r="O114">
            <v>1045302.1394533865</v>
          </cell>
          <cell r="P114">
            <v>35650</v>
          </cell>
          <cell r="Q114">
            <v>1080952.1394533864</v>
          </cell>
          <cell r="R114">
            <v>5124.030095359738</v>
          </cell>
          <cell r="S114">
            <v>-0.41022479516777821</v>
          </cell>
          <cell r="T114">
            <v>0</v>
          </cell>
          <cell r="U114">
            <v>35787.396382870153</v>
          </cell>
          <cell r="V114">
            <v>5298.7849973205221</v>
          </cell>
          <cell r="W114">
            <v>174.3446771656163</v>
          </cell>
          <cell r="X114">
            <v>3.4022189014457305E-2</v>
          </cell>
          <cell r="Y114">
            <v>71437.396382870036</v>
          </cell>
          <cell r="Z114">
            <v>89665</v>
          </cell>
          <cell r="AA114">
            <v>94195</v>
          </cell>
        </row>
        <row r="115">
          <cell r="C115">
            <v>3423</v>
          </cell>
          <cell r="D115" t="str">
            <v>St Mary's Primary School, A Catholic Voluntary Academy</v>
          </cell>
          <cell r="E115">
            <v>188</v>
          </cell>
          <cell r="F115">
            <v>176</v>
          </cell>
          <cell r="G115">
            <v>-12</v>
          </cell>
          <cell r="I115">
            <v>865291.88215853064</v>
          </cell>
          <cell r="J115">
            <v>4602.6163944602695</v>
          </cell>
          <cell r="K115">
            <v>23786</v>
          </cell>
          <cell r="L115">
            <v>126.52127659574468</v>
          </cell>
          <cell r="M115">
            <v>889077.88215853064</v>
          </cell>
          <cell r="N115">
            <v>4729.1376710560144</v>
          </cell>
          <cell r="O115">
            <v>844270.09644787677</v>
          </cell>
          <cell r="P115">
            <v>27742</v>
          </cell>
          <cell r="Q115">
            <v>872012.09644787677</v>
          </cell>
          <cell r="R115">
            <v>4796.9891843629366</v>
          </cell>
          <cell r="S115">
            <v>67.851513306922243</v>
          </cell>
          <cell r="T115">
            <v>1.4E-2</v>
          </cell>
          <cell r="U115">
            <v>-44807.785710653872</v>
          </cell>
          <cell r="V115">
            <v>4954.6141843629366</v>
          </cell>
          <cell r="W115">
            <v>225.47651330692224</v>
          </cell>
          <cell r="X115">
            <v>4.7678145359759304E-2</v>
          </cell>
          <cell r="Y115">
            <v>-17065.785710653872</v>
          </cell>
          <cell r="Z115">
            <v>39750</v>
          </cell>
          <cell r="AA115">
            <v>41750</v>
          </cell>
        </row>
        <row r="116">
          <cell r="C116">
            <v>5207</v>
          </cell>
          <cell r="D116" t="str">
            <v>St Patrick's Catholic Voluntary Academy</v>
          </cell>
          <cell r="E116">
            <v>279</v>
          </cell>
          <cell r="F116">
            <v>279</v>
          </cell>
          <cell r="G116">
            <v>0</v>
          </cell>
          <cell r="I116">
            <v>1359513.468720108</v>
          </cell>
          <cell r="J116">
            <v>4872.8081316132902</v>
          </cell>
          <cell r="K116">
            <v>38223</v>
          </cell>
          <cell r="L116">
            <v>137</v>
          </cell>
          <cell r="M116">
            <v>1397736.468720108</v>
          </cell>
          <cell r="N116">
            <v>5009.8081316132902</v>
          </cell>
          <cell r="O116">
            <v>1426200.4156466611</v>
          </cell>
          <cell r="P116">
            <v>46758.999999999985</v>
          </cell>
          <cell r="Q116">
            <v>1472959.4156466611</v>
          </cell>
          <cell r="R116">
            <v>5111.8294467622263</v>
          </cell>
          <cell r="S116">
            <v>102.02131514893608</v>
          </cell>
          <cell r="T116">
            <v>0.02</v>
          </cell>
          <cell r="U116">
            <v>28463.946926553035</v>
          </cell>
          <cell r="V116">
            <v>5279.4244288410791</v>
          </cell>
          <cell r="W116">
            <v>269.61629722778889</v>
          </cell>
          <cell r="X116">
            <v>5.3817689249700935E-2</v>
          </cell>
          <cell r="Y116">
            <v>75222.946926553035</v>
          </cell>
          <cell r="Z116">
            <v>124250</v>
          </cell>
          <cell r="AA116">
            <v>130525</v>
          </cell>
        </row>
        <row r="117">
          <cell r="C117">
            <v>5208</v>
          </cell>
          <cell r="D117" t="str">
            <v>St Theresa's Catholic Primary School</v>
          </cell>
          <cell r="E117">
            <v>207</v>
          </cell>
          <cell r="F117">
            <v>207</v>
          </cell>
          <cell r="G117">
            <v>0</v>
          </cell>
          <cell r="I117">
            <v>1059507.1873210147</v>
          </cell>
          <cell r="J117">
            <v>5118.3922092802641</v>
          </cell>
          <cell r="K117">
            <v>29539</v>
          </cell>
          <cell r="L117">
            <v>142.70048309178745</v>
          </cell>
          <cell r="M117">
            <v>1089046.1873210147</v>
          </cell>
          <cell r="N117">
            <v>5261.0926923720517</v>
          </cell>
          <cell r="O117">
            <v>1111631.7056359109</v>
          </cell>
          <cell r="P117">
            <v>36007</v>
          </cell>
          <cell r="Q117">
            <v>1147638.7056359109</v>
          </cell>
          <cell r="R117">
            <v>5370.2014765019849</v>
          </cell>
          <cell r="S117">
            <v>109.10878412993316</v>
          </cell>
          <cell r="T117">
            <v>2.1000000000000001E-2</v>
          </cell>
          <cell r="U117">
            <v>22585.518314896151</v>
          </cell>
          <cell r="V117">
            <v>5544.1483364053665</v>
          </cell>
          <cell r="W117">
            <v>283.05564403331482</v>
          </cell>
          <cell r="X117">
            <v>5.3801683525498661E-2</v>
          </cell>
          <cell r="Y117">
            <v>58592.518314896151</v>
          </cell>
          <cell r="Z117">
            <v>94485</v>
          </cell>
          <cell r="AA117">
            <v>99255</v>
          </cell>
        </row>
        <row r="118">
          <cell r="C118">
            <v>3424</v>
          </cell>
          <cell r="D118" t="str">
            <v>St Thomas More Catholic Primary, A Voluntary Academy</v>
          </cell>
          <cell r="E118">
            <v>209</v>
          </cell>
          <cell r="F118">
            <v>208</v>
          </cell>
          <cell r="G118">
            <v>-1</v>
          </cell>
          <cell r="I118">
            <v>981984.81400205335</v>
          </cell>
          <cell r="J118">
            <v>4698.4919330241783</v>
          </cell>
          <cell r="K118">
            <v>27353</v>
          </cell>
          <cell r="L118">
            <v>130.8755980861244</v>
          </cell>
          <cell r="M118">
            <v>1009337.8140020533</v>
          </cell>
          <cell r="N118">
            <v>4829.3675311103034</v>
          </cell>
          <cell r="O118">
            <v>1022030.4125349715</v>
          </cell>
          <cell r="P118">
            <v>33421.999999999993</v>
          </cell>
          <cell r="Q118">
            <v>1055452.4125349715</v>
          </cell>
          <cell r="R118">
            <v>4913.6077525719784</v>
          </cell>
          <cell r="S118">
            <v>84.240221461674992</v>
          </cell>
          <cell r="T118">
            <v>1.7000000000000001E-2</v>
          </cell>
          <cell r="U118">
            <v>12692.598532918142</v>
          </cell>
          <cell r="V118">
            <v>5074.2904448796708</v>
          </cell>
          <cell r="W118">
            <v>244.92291376936737</v>
          </cell>
          <cell r="X118">
            <v>5.0715318764123545E-2</v>
          </cell>
          <cell r="Y118">
            <v>46114.598532918142</v>
          </cell>
          <cell r="Z118">
            <v>56425</v>
          </cell>
          <cell r="AA118">
            <v>59275</v>
          </cell>
        </row>
        <row r="119">
          <cell r="C119">
            <v>3414</v>
          </cell>
          <cell r="D119" t="str">
            <v>St Thomas of Canterbury School, a Catholic Voluntary Academy</v>
          </cell>
          <cell r="E119">
            <v>211</v>
          </cell>
          <cell r="F119">
            <v>210</v>
          </cell>
          <cell r="G119">
            <v>-1</v>
          </cell>
          <cell r="I119">
            <v>933463.70418944978</v>
          </cell>
          <cell r="J119">
            <v>4423.9985980542642</v>
          </cell>
          <cell r="K119">
            <v>26867</v>
          </cell>
          <cell r="L119">
            <v>127.33175355450237</v>
          </cell>
          <cell r="M119">
            <v>960330.70418944978</v>
          </cell>
          <cell r="N119">
            <v>4551.3303516087672</v>
          </cell>
          <cell r="O119">
            <v>963653.92411019595</v>
          </cell>
          <cell r="P119">
            <v>33036</v>
          </cell>
          <cell r="Q119">
            <v>996689.92411019595</v>
          </cell>
          <cell r="R119">
            <v>4588.8282100485521</v>
          </cell>
          <cell r="S119">
            <v>37.497858439784977</v>
          </cell>
          <cell r="T119">
            <v>8.0000000000000002E-3</v>
          </cell>
          <cell r="U119">
            <v>3323.2199207461672</v>
          </cell>
          <cell r="V119">
            <v>4746.1424957628378</v>
          </cell>
          <cell r="W119">
            <v>194.81214415407067</v>
          </cell>
          <cell r="X119">
            <v>4.2803340804564993E-2</v>
          </cell>
          <cell r="Y119">
            <v>36359.219920746167</v>
          </cell>
          <cell r="Z119">
            <v>49100</v>
          </cell>
          <cell r="AA119">
            <v>51575</v>
          </cell>
        </row>
        <row r="120">
          <cell r="C120">
            <v>3412</v>
          </cell>
          <cell r="D120" t="str">
            <v>St Wilfrid's Catholic Primary School</v>
          </cell>
          <cell r="E120">
            <v>307</v>
          </cell>
          <cell r="F120">
            <v>297</v>
          </cell>
          <cell r="G120">
            <v>-10</v>
          </cell>
          <cell r="I120">
            <v>1313861</v>
          </cell>
          <cell r="J120">
            <v>4279.677524429967</v>
          </cell>
          <cell r="K120">
            <v>34394</v>
          </cell>
          <cell r="L120">
            <v>112.03257328990227</v>
          </cell>
          <cell r="M120">
            <v>1348255</v>
          </cell>
          <cell r="N120">
            <v>4391.7100977198697</v>
          </cell>
          <cell r="O120">
            <v>1314535.1845570034</v>
          </cell>
          <cell r="P120">
            <v>41517</v>
          </cell>
          <cell r="Q120">
            <v>1356052.1845570034</v>
          </cell>
          <cell r="R120">
            <v>4426.0443924478232</v>
          </cell>
          <cell r="S120">
            <v>34.33429472795342</v>
          </cell>
          <cell r="T120">
            <v>8.0000000000000002E-3</v>
          </cell>
          <cell r="U120">
            <v>-33719.815442996565</v>
          </cell>
          <cell r="V120">
            <v>4565.8322712357021</v>
          </cell>
          <cell r="W120">
            <v>174.1221735158324</v>
          </cell>
          <cell r="X120">
            <v>3.9647920659934915E-2</v>
          </cell>
          <cell r="Y120">
            <v>7797.1845570034347</v>
          </cell>
          <cell r="Z120">
            <v>15235</v>
          </cell>
          <cell r="AA120">
            <v>16005</v>
          </cell>
        </row>
        <row r="121">
          <cell r="C121">
            <v>2294</v>
          </cell>
          <cell r="D121" t="str">
            <v>Stannington Infant School</v>
          </cell>
          <cell r="E121">
            <v>181</v>
          </cell>
          <cell r="F121">
            <v>181</v>
          </cell>
          <cell r="G121">
            <v>0</v>
          </cell>
          <cell r="I121">
            <v>824414.41115405434</v>
          </cell>
          <cell r="J121">
            <v>4554.7757522323445</v>
          </cell>
          <cell r="K121">
            <v>23022</v>
          </cell>
          <cell r="L121">
            <v>127.19337016574586</v>
          </cell>
          <cell r="M121">
            <v>847436.41115405434</v>
          </cell>
          <cell r="N121">
            <v>4681.9691223980899</v>
          </cell>
          <cell r="O121">
            <v>851023.72120982478</v>
          </cell>
          <cell r="P121">
            <v>28337.000000000004</v>
          </cell>
          <cell r="Q121">
            <v>879360.72120982478</v>
          </cell>
          <cell r="R121">
            <v>4701.7885149714075</v>
          </cell>
          <cell r="S121">
            <v>19.8193925733176</v>
          </cell>
          <cell r="T121">
            <v>4.0000000000000001E-3</v>
          </cell>
          <cell r="U121">
            <v>3587.3100557704456</v>
          </cell>
          <cell r="V121">
            <v>4858.3465260211315</v>
          </cell>
          <cell r="W121">
            <v>176.37740362304157</v>
          </cell>
          <cell r="X121">
            <v>3.767162896894579E-2</v>
          </cell>
          <cell r="Y121">
            <v>31924.310055770446</v>
          </cell>
          <cell r="Z121">
            <v>29085</v>
          </cell>
          <cell r="AA121">
            <v>30555</v>
          </cell>
        </row>
        <row r="122">
          <cell r="C122">
            <v>2303</v>
          </cell>
          <cell r="D122" t="str">
            <v>Stocksbridge Junior School</v>
          </cell>
          <cell r="E122">
            <v>308</v>
          </cell>
          <cell r="F122">
            <v>295</v>
          </cell>
          <cell r="G122">
            <v>-13</v>
          </cell>
          <cell r="I122">
            <v>1428224.2993115573</v>
          </cell>
          <cell r="J122">
            <v>4637.0918808816796</v>
          </cell>
          <cell r="K122">
            <v>40951</v>
          </cell>
          <cell r="L122">
            <v>132.95779220779221</v>
          </cell>
          <cell r="M122">
            <v>1469175.2993115573</v>
          </cell>
          <cell r="N122">
            <v>4770.049673089472</v>
          </cell>
          <cell r="O122">
            <v>1419760.5570848831</v>
          </cell>
          <cell r="P122">
            <v>48247.000000000007</v>
          </cell>
          <cell r="Q122">
            <v>1468007.5570848831</v>
          </cell>
          <cell r="R122">
            <v>4812.747651135197</v>
          </cell>
          <cell r="S122">
            <v>42.697978045724994</v>
          </cell>
          <cell r="T122">
            <v>8.9999999999999993E-3</v>
          </cell>
          <cell r="U122">
            <v>-49414.742226674221</v>
          </cell>
          <cell r="V122">
            <v>4976.2968036775701</v>
          </cell>
          <cell r="W122">
            <v>206.24713058809812</v>
          </cell>
          <cell r="X122">
            <v>4.3237941892231013E-2</v>
          </cell>
          <cell r="Y122">
            <v>-1167.7422266742215</v>
          </cell>
          <cell r="Z122">
            <v>133770</v>
          </cell>
          <cell r="AA122">
            <v>140510</v>
          </cell>
        </row>
        <row r="123">
          <cell r="C123">
            <v>2302</v>
          </cell>
          <cell r="D123" t="str">
            <v>Stocksbridge Nursery Infant School</v>
          </cell>
          <cell r="E123">
            <v>194</v>
          </cell>
          <cell r="F123">
            <v>198</v>
          </cell>
          <cell r="G123">
            <v>4</v>
          </cell>
          <cell r="I123">
            <v>935873.76447474246</v>
          </cell>
          <cell r="J123">
            <v>4824.0915694574351</v>
          </cell>
          <cell r="K123">
            <v>26918</v>
          </cell>
          <cell r="L123">
            <v>138.75257731958763</v>
          </cell>
          <cell r="M123">
            <v>962791.76447474246</v>
          </cell>
          <cell r="N123">
            <v>4962.8441467770226</v>
          </cell>
          <cell r="O123">
            <v>1009554.8787507995</v>
          </cell>
          <cell r="P123">
            <v>34000</v>
          </cell>
          <cell r="Q123">
            <v>1043554.8787507995</v>
          </cell>
          <cell r="R123">
            <v>5098.7620138929269</v>
          </cell>
          <cell r="S123">
            <v>135.9178671159043</v>
          </cell>
          <cell r="T123">
            <v>2.7E-2</v>
          </cell>
          <cell r="U123">
            <v>46763.114276056993</v>
          </cell>
          <cell r="V123">
            <v>5270.4791856100983</v>
          </cell>
          <cell r="W123">
            <v>307.63503883307567</v>
          </cell>
          <cell r="X123">
            <v>6.1987648560928608E-2</v>
          </cell>
          <cell r="Y123">
            <v>80763.114276056993</v>
          </cell>
          <cell r="Z123">
            <v>78452.5</v>
          </cell>
          <cell r="AA123">
            <v>82407.5</v>
          </cell>
        </row>
        <row r="124">
          <cell r="C124">
            <v>2350</v>
          </cell>
          <cell r="D124" t="str">
            <v>Stradbroke Primary School</v>
          </cell>
          <cell r="E124">
            <v>412</v>
          </cell>
          <cell r="F124">
            <v>411</v>
          </cell>
          <cell r="G124">
            <v>-1</v>
          </cell>
          <cell r="I124">
            <v>2046443.641264884</v>
          </cell>
          <cell r="J124">
            <v>4967.0962166623403</v>
          </cell>
          <cell r="K124">
            <v>60729</v>
          </cell>
          <cell r="L124">
            <v>147.40048543689321</v>
          </cell>
          <cell r="M124">
            <v>2107172.6412648838</v>
          </cell>
          <cell r="N124">
            <v>5114.4967020992326</v>
          </cell>
          <cell r="O124">
            <v>2143220.6135037858</v>
          </cell>
          <cell r="P124">
            <v>74946.999999999985</v>
          </cell>
          <cell r="Q124">
            <v>2218167.6135037858</v>
          </cell>
          <cell r="R124">
            <v>5214.6486946564128</v>
          </cell>
          <cell r="S124">
            <v>100.15199255718017</v>
          </cell>
          <cell r="T124">
            <v>0.02</v>
          </cell>
          <cell r="U124">
            <v>36047.972238902003</v>
          </cell>
          <cell r="V124">
            <v>5397.001492709941</v>
          </cell>
          <cell r="W124">
            <v>282.50479061070837</v>
          </cell>
          <cell r="X124">
            <v>5.523608813644458E-2</v>
          </cell>
          <cell r="Y124">
            <v>110994.972238902</v>
          </cell>
          <cell r="Z124">
            <v>300230</v>
          </cell>
          <cell r="AA124">
            <v>315365</v>
          </cell>
        </row>
        <row r="125">
          <cell r="C125">
            <v>2230</v>
          </cell>
          <cell r="D125" t="str">
            <v>Tinsley Meadows Primary School</v>
          </cell>
          <cell r="E125">
            <v>543</v>
          </cell>
          <cell r="F125">
            <v>545</v>
          </cell>
          <cell r="G125">
            <v>2</v>
          </cell>
          <cell r="I125">
            <v>2647974.1421129238</v>
          </cell>
          <cell r="J125">
            <v>4876.5637976296939</v>
          </cell>
          <cell r="K125">
            <v>77006</v>
          </cell>
          <cell r="L125">
            <v>141.81583793738488</v>
          </cell>
          <cell r="M125">
            <v>2724980.1421129238</v>
          </cell>
          <cell r="N125">
            <v>5018.3796355670784</v>
          </cell>
          <cell r="O125">
            <v>2795343.3164346418</v>
          </cell>
          <cell r="P125">
            <v>94532.999999999971</v>
          </cell>
          <cell r="Q125">
            <v>2889876.3164346418</v>
          </cell>
          <cell r="R125">
            <v>5129.0703053846637</v>
          </cell>
          <cell r="S125">
            <v>110.69066981758533</v>
          </cell>
          <cell r="T125">
            <v>2.1999999999999999E-2</v>
          </cell>
          <cell r="U125">
            <v>70363.174321718048</v>
          </cell>
          <cell r="V125">
            <v>5302.525351256224</v>
          </cell>
          <cell r="W125">
            <v>284.14571568914562</v>
          </cell>
          <cell r="X125">
            <v>5.6621008437723955E-2</v>
          </cell>
          <cell r="Y125">
            <v>164896.17432171805</v>
          </cell>
          <cell r="Z125">
            <v>339325</v>
          </cell>
          <cell r="AA125">
            <v>356475</v>
          </cell>
        </row>
        <row r="126">
          <cell r="C126">
            <v>5206</v>
          </cell>
          <cell r="D126" t="str">
            <v>Totley All Saints Church of England Voluntary Aided Primary School</v>
          </cell>
          <cell r="E126">
            <v>214</v>
          </cell>
          <cell r="F126">
            <v>211</v>
          </cell>
          <cell r="G126">
            <v>-3</v>
          </cell>
          <cell r="I126">
            <v>934235.20312346797</v>
          </cell>
          <cell r="J126">
            <v>4365.5850613246166</v>
          </cell>
          <cell r="K126">
            <v>25798</v>
          </cell>
          <cell r="L126">
            <v>120.55140186915888</v>
          </cell>
          <cell r="M126">
            <v>960033.20312346797</v>
          </cell>
          <cell r="N126">
            <v>4486.1364631937759</v>
          </cell>
          <cell r="O126">
            <v>959598.23500413459</v>
          </cell>
          <cell r="P126">
            <v>31387</v>
          </cell>
          <cell r="Q126">
            <v>990985.23500413459</v>
          </cell>
          <cell r="R126">
            <v>4547.8589336688847</v>
          </cell>
          <cell r="S126">
            <v>61.722470475108821</v>
          </cell>
          <cell r="T126">
            <v>1.4E-2</v>
          </cell>
          <cell r="U126">
            <v>-434.96811933338176</v>
          </cell>
          <cell r="V126">
            <v>4696.612488171254</v>
          </cell>
          <cell r="W126">
            <v>210.47602497747812</v>
          </cell>
          <cell r="X126">
            <v>4.6916991202634026E-2</v>
          </cell>
          <cell r="Y126">
            <v>30952.031880666618</v>
          </cell>
          <cell r="Z126">
            <v>27620</v>
          </cell>
          <cell r="AA126">
            <v>29010</v>
          </cell>
        </row>
        <row r="127">
          <cell r="C127">
            <v>2203</v>
          </cell>
          <cell r="D127" t="str">
            <v>Totley Primary School</v>
          </cell>
          <cell r="E127">
            <v>399</v>
          </cell>
          <cell r="F127">
            <v>423</v>
          </cell>
          <cell r="G127">
            <v>24</v>
          </cell>
          <cell r="I127">
            <v>1705140</v>
          </cell>
          <cell r="J127">
            <v>4273.5338345864666</v>
          </cell>
          <cell r="K127">
            <v>45783</v>
          </cell>
          <cell r="L127">
            <v>114.74436090225564</v>
          </cell>
          <cell r="M127">
            <v>1750923</v>
          </cell>
          <cell r="N127">
            <v>4388.2781954887214</v>
          </cell>
          <cell r="O127">
            <v>1866720</v>
          </cell>
          <cell r="P127">
            <v>59423.000000000007</v>
          </cell>
          <cell r="Q127">
            <v>1926143</v>
          </cell>
          <cell r="R127">
            <v>4413.0496453900705</v>
          </cell>
          <cell r="S127">
            <v>24.771449901349115</v>
          </cell>
          <cell r="T127">
            <v>6.0000000000000001E-3</v>
          </cell>
          <cell r="U127">
            <v>115797</v>
          </cell>
          <cell r="V127">
            <v>4553.529550827423</v>
          </cell>
          <cell r="W127">
            <v>165.25135533870161</v>
          </cell>
          <cell r="X127">
            <v>3.7657447403536277E-2</v>
          </cell>
          <cell r="Y127">
            <v>175220</v>
          </cell>
          <cell r="Z127">
            <v>66385</v>
          </cell>
          <cell r="AA127">
            <v>69730</v>
          </cell>
        </row>
        <row r="128">
          <cell r="C128">
            <v>2351</v>
          </cell>
          <cell r="D128" t="str">
            <v>Walkley Primary School</v>
          </cell>
          <cell r="E128">
            <v>345</v>
          </cell>
          <cell r="F128">
            <v>377</v>
          </cell>
          <cell r="G128">
            <v>32</v>
          </cell>
          <cell r="I128">
            <v>1621510.7120172228</v>
          </cell>
          <cell r="J128">
            <v>4700.0310493252837</v>
          </cell>
          <cell r="K128">
            <v>45475</v>
          </cell>
          <cell r="L128">
            <v>131.81159420289856</v>
          </cell>
          <cell r="M128">
            <v>1666985.7120172228</v>
          </cell>
          <cell r="N128">
            <v>4831.8426435281817</v>
          </cell>
          <cell r="O128">
            <v>1813615.016514915</v>
          </cell>
          <cell r="P128">
            <v>59668.999999999993</v>
          </cell>
          <cell r="Q128">
            <v>1873284.016514915</v>
          </cell>
          <cell r="R128">
            <v>4810.6499111801459</v>
          </cell>
          <cell r="S128">
            <v>-21.192732348035861</v>
          </cell>
          <cell r="T128">
            <v>-4.0000000000000001E-3</v>
          </cell>
          <cell r="U128">
            <v>146629.30449769227</v>
          </cell>
          <cell r="V128">
            <v>4968.9231207292178</v>
          </cell>
          <cell r="W128">
            <v>137.08047720103605</v>
          </cell>
          <cell r="X128">
            <v>2.8370227947022035E-2</v>
          </cell>
          <cell r="Y128">
            <v>206298.30449769227</v>
          </cell>
          <cell r="Z128">
            <v>142240</v>
          </cell>
          <cell r="AA128">
            <v>149420</v>
          </cell>
        </row>
        <row r="129">
          <cell r="C129">
            <v>3432</v>
          </cell>
          <cell r="D129" t="str">
            <v>Watercliffe Meadow Community Primary School</v>
          </cell>
          <cell r="E129">
            <v>407</v>
          </cell>
          <cell r="F129">
            <v>417</v>
          </cell>
          <cell r="G129">
            <v>10</v>
          </cell>
          <cell r="I129">
            <v>2090741.0358792301</v>
          </cell>
          <cell r="J129">
            <v>5136.955862111131</v>
          </cell>
          <cell r="K129">
            <v>61944</v>
          </cell>
          <cell r="L129">
            <v>152.1965601965602</v>
          </cell>
          <cell r="M129">
            <v>2152685.0358792301</v>
          </cell>
          <cell r="N129">
            <v>5289.1524223076904</v>
          </cell>
          <cell r="O129">
            <v>2249533.1606082534</v>
          </cell>
          <cell r="P129">
            <v>78260.999999999985</v>
          </cell>
          <cell r="Q129">
            <v>2327794.1606082534</v>
          </cell>
          <cell r="R129">
            <v>5394.5639343123585</v>
          </cell>
          <cell r="S129">
            <v>105.41151200466811</v>
          </cell>
          <cell r="T129">
            <v>0.02</v>
          </cell>
          <cell r="U129">
            <v>96848.124729023315</v>
          </cell>
          <cell r="V129">
            <v>5582.2401933051642</v>
          </cell>
          <cell r="W129">
            <v>293.08777099747385</v>
          </cell>
          <cell r="X129">
            <v>5.5412993915875432E-2</v>
          </cell>
          <cell r="Y129">
            <v>175109.12472902332</v>
          </cell>
          <cell r="Z129">
            <v>311570</v>
          </cell>
          <cell r="AA129">
            <v>327310</v>
          </cell>
        </row>
        <row r="130">
          <cell r="C130">
            <v>2319</v>
          </cell>
          <cell r="D130" t="str">
            <v>Waterthorpe Infant School</v>
          </cell>
          <cell r="E130">
            <v>124</v>
          </cell>
          <cell r="F130">
            <v>134</v>
          </cell>
          <cell r="G130">
            <v>10</v>
          </cell>
          <cell r="I130">
            <v>669720.14415657171</v>
          </cell>
          <cell r="J130">
            <v>5400.9689044884817</v>
          </cell>
          <cell r="K130">
            <v>19023</v>
          </cell>
          <cell r="L130">
            <v>153.41129032258064</v>
          </cell>
          <cell r="M130">
            <v>688743.14415657171</v>
          </cell>
          <cell r="N130">
            <v>5554.3801948110622</v>
          </cell>
          <cell r="O130">
            <v>746530.93296202982</v>
          </cell>
          <cell r="P130">
            <v>25343.999999999993</v>
          </cell>
          <cell r="Q130">
            <v>771874.93296202982</v>
          </cell>
          <cell r="R130">
            <v>5571.1263653882825</v>
          </cell>
          <cell r="S130">
            <v>16.746170577220255</v>
          </cell>
          <cell r="T130">
            <v>3.0000000000000001E-3</v>
          </cell>
          <cell r="U130">
            <v>57787.788805458113</v>
          </cell>
          <cell r="V130">
            <v>5760.2606937464916</v>
          </cell>
          <cell r="W130">
            <v>205.88049893542939</v>
          </cell>
          <cell r="X130">
            <v>3.7066331744406746E-2</v>
          </cell>
          <cell r="Y130">
            <v>83131.788805458113</v>
          </cell>
          <cell r="Z130">
            <v>51245</v>
          </cell>
          <cell r="AA130">
            <v>53835</v>
          </cell>
        </row>
        <row r="131">
          <cell r="C131">
            <v>2352</v>
          </cell>
          <cell r="D131" t="str">
            <v>Westways Primary School</v>
          </cell>
          <cell r="E131">
            <v>572</v>
          </cell>
          <cell r="F131">
            <v>580</v>
          </cell>
          <cell r="G131">
            <v>8</v>
          </cell>
          <cell r="I131">
            <v>2471944</v>
          </cell>
          <cell r="J131">
            <v>4321.5804195804194</v>
          </cell>
          <cell r="K131">
            <v>67664</v>
          </cell>
          <cell r="L131">
            <v>118.29370629370629</v>
          </cell>
          <cell r="M131">
            <v>2539608</v>
          </cell>
          <cell r="N131">
            <v>4439.8741258741256</v>
          </cell>
          <cell r="O131">
            <v>2586644.0000000009</v>
          </cell>
          <cell r="P131">
            <v>83618.000000000015</v>
          </cell>
          <cell r="Q131">
            <v>2670262.0000000009</v>
          </cell>
          <cell r="R131">
            <v>4459.7310344827602</v>
          </cell>
          <cell r="S131">
            <v>19.856908608634512</v>
          </cell>
          <cell r="T131">
            <v>4.0000000000000001E-3</v>
          </cell>
          <cell r="U131">
            <v>47036.000000000931</v>
          </cell>
          <cell r="V131">
            <v>4603.9000000000015</v>
          </cell>
          <cell r="W131">
            <v>164.02587412587582</v>
          </cell>
          <cell r="X131">
            <v>3.694381180087674E-2</v>
          </cell>
          <cell r="Y131">
            <v>130654.00000000093</v>
          </cell>
          <cell r="Z131">
            <v>151150</v>
          </cell>
          <cell r="AA131">
            <v>158775</v>
          </cell>
        </row>
        <row r="132">
          <cell r="C132">
            <v>2311</v>
          </cell>
          <cell r="D132" t="str">
            <v>Wharncliffe Side Primary School</v>
          </cell>
          <cell r="E132">
            <v>141</v>
          </cell>
          <cell r="F132">
            <v>142</v>
          </cell>
          <cell r="G132">
            <v>1</v>
          </cell>
          <cell r="I132">
            <v>727142.65421112371</v>
          </cell>
          <cell r="J132">
            <v>5157.040100788111</v>
          </cell>
          <cell r="K132">
            <v>20587</v>
          </cell>
          <cell r="L132">
            <v>146.00709219858157</v>
          </cell>
          <cell r="M132">
            <v>747729.65421112371</v>
          </cell>
          <cell r="N132">
            <v>5303.0471929866926</v>
          </cell>
          <cell r="O132">
            <v>758069.71207127406</v>
          </cell>
          <cell r="P132">
            <v>25880.000000000004</v>
          </cell>
          <cell r="Q132">
            <v>783949.71207127406</v>
          </cell>
          <cell r="R132">
            <v>5338.5190990934789</v>
          </cell>
          <cell r="S132">
            <v>35.471906106786264</v>
          </cell>
          <cell r="T132">
            <v>7.0000000000000001E-3</v>
          </cell>
          <cell r="U132">
            <v>10340.057860150351</v>
          </cell>
          <cell r="V132">
            <v>5520.7726202202402</v>
          </cell>
          <cell r="W132">
            <v>217.72542723354763</v>
          </cell>
          <cell r="X132">
            <v>4.105666408579027E-2</v>
          </cell>
          <cell r="Y132">
            <v>36220.057860150351</v>
          </cell>
          <cell r="Z132">
            <v>58475</v>
          </cell>
          <cell r="AA132">
            <v>61425</v>
          </cell>
        </row>
        <row r="133">
          <cell r="C133">
            <v>2040</v>
          </cell>
          <cell r="D133" t="str">
            <v>Whiteways Primary School</v>
          </cell>
          <cell r="E133">
            <v>408</v>
          </cell>
          <cell r="F133">
            <v>406</v>
          </cell>
          <cell r="G133">
            <v>-2</v>
          </cell>
          <cell r="I133">
            <v>2171400.4519624007</v>
          </cell>
          <cell r="J133">
            <v>5322.0599312803943</v>
          </cell>
          <cell r="K133">
            <v>61106</v>
          </cell>
          <cell r="L133">
            <v>149.76960784313727</v>
          </cell>
          <cell r="M133">
            <v>2232506.4519624007</v>
          </cell>
          <cell r="N133">
            <v>5471.8295391235315</v>
          </cell>
          <cell r="O133">
            <v>2319332.2464535562</v>
          </cell>
          <cell r="P133">
            <v>76536</v>
          </cell>
          <cell r="Q133">
            <v>2395868.2464535562</v>
          </cell>
          <cell r="R133">
            <v>5712.6410011171338</v>
          </cell>
          <cell r="S133">
            <v>240.81146199360228</v>
          </cell>
          <cell r="T133">
            <v>4.3999999999999997E-2</v>
          </cell>
          <cell r="U133">
            <v>86825.794491155539</v>
          </cell>
          <cell r="V133">
            <v>5901.1533163880695</v>
          </cell>
          <cell r="W133">
            <v>429.32377726453797</v>
          </cell>
          <cell r="X133">
            <v>7.8460736796509625E-2</v>
          </cell>
          <cell r="Y133">
            <v>163361.79449115554</v>
          </cell>
          <cell r="Z133">
            <v>292927.5</v>
          </cell>
          <cell r="AA133">
            <v>307732.5</v>
          </cell>
        </row>
        <row r="134">
          <cell r="C134">
            <v>2027</v>
          </cell>
          <cell r="D134" t="str">
            <v>Wincobank Nursery and Infant School</v>
          </cell>
          <cell r="E134">
            <v>122</v>
          </cell>
          <cell r="F134">
            <v>137</v>
          </cell>
          <cell r="G134">
            <v>15</v>
          </cell>
          <cell r="I134">
            <v>695992.249934347</v>
          </cell>
          <cell r="J134">
            <v>5704.8545076585815</v>
          </cell>
          <cell r="K134">
            <v>21209</v>
          </cell>
          <cell r="L134">
            <v>173.84426229508196</v>
          </cell>
          <cell r="M134">
            <v>717201.249934347</v>
          </cell>
          <cell r="N134">
            <v>5878.6987699536639</v>
          </cell>
          <cell r="O134">
            <v>792642.46650172584</v>
          </cell>
          <cell r="P134">
            <v>28300.999999999993</v>
          </cell>
          <cell r="Q134">
            <v>820943.46650172584</v>
          </cell>
          <cell r="R134">
            <v>5785.711434319167</v>
          </cell>
          <cell r="S134">
            <v>-92.987335634496958</v>
          </cell>
          <cell r="T134">
            <v>-1.6E-2</v>
          </cell>
          <cell r="U134">
            <v>75441.21656737884</v>
          </cell>
          <cell r="V134">
            <v>5992.2880766549333</v>
          </cell>
          <cell r="W134">
            <v>113.58930670126938</v>
          </cell>
          <cell r="X134">
            <v>1.9322185256681335E-2</v>
          </cell>
          <cell r="Y134">
            <v>103742.21656737884</v>
          </cell>
          <cell r="Z134">
            <v>95205</v>
          </cell>
          <cell r="AA134">
            <v>100015</v>
          </cell>
        </row>
        <row r="135">
          <cell r="C135">
            <v>2361</v>
          </cell>
          <cell r="D135" t="str">
            <v>Windmill Hill Primary School</v>
          </cell>
          <cell r="E135">
            <v>317</v>
          </cell>
          <cell r="F135">
            <v>315</v>
          </cell>
          <cell r="G135">
            <v>-2</v>
          </cell>
          <cell r="I135">
            <v>1371673.6473145748</v>
          </cell>
          <cell r="J135">
            <v>4327.0462060396685</v>
          </cell>
          <cell r="K135">
            <v>39019</v>
          </cell>
          <cell r="L135">
            <v>123.08832807570978</v>
          </cell>
          <cell r="M135">
            <v>1410692.6473145748</v>
          </cell>
          <cell r="N135">
            <v>4450.1345341153783</v>
          </cell>
          <cell r="O135">
            <v>1408979.0866359989</v>
          </cell>
          <cell r="P135">
            <v>47610.999999999985</v>
          </cell>
          <cell r="Q135">
            <v>1456590.0866359989</v>
          </cell>
          <cell r="R135">
            <v>4472.9494813841238</v>
          </cell>
          <cell r="S135">
            <v>22.814947268745527</v>
          </cell>
          <cell r="T135">
            <v>5.0000000000000001E-3</v>
          </cell>
          <cell r="U135">
            <v>-1713.5606785758864</v>
          </cell>
          <cell r="V135">
            <v>4624.0955131301553</v>
          </cell>
          <cell r="W135">
            <v>173.96097901477697</v>
          </cell>
          <cell r="X135">
            <v>3.9091173015369941E-2</v>
          </cell>
          <cell r="Y135">
            <v>45897.439321424114</v>
          </cell>
          <cell r="Z135">
            <v>76070</v>
          </cell>
          <cell r="AA135">
            <v>79910</v>
          </cell>
        </row>
        <row r="136">
          <cell r="C136">
            <v>2043</v>
          </cell>
          <cell r="D136" t="str">
            <v>Wisewood Community Primary School</v>
          </cell>
          <cell r="E136">
            <v>153</v>
          </cell>
          <cell r="F136">
            <v>156</v>
          </cell>
          <cell r="G136">
            <v>3</v>
          </cell>
          <cell r="I136">
            <v>811808.68595533981</v>
          </cell>
          <cell r="J136">
            <v>5305.9391238911103</v>
          </cell>
          <cell r="K136">
            <v>26001</v>
          </cell>
          <cell r="L136">
            <v>169.94117647058823</v>
          </cell>
          <cell r="M136">
            <v>837809.68595533981</v>
          </cell>
          <cell r="N136">
            <v>5475.8803003616977</v>
          </cell>
          <cell r="O136">
            <v>858796.86817749753</v>
          </cell>
          <cell r="P136">
            <v>32329.999999999993</v>
          </cell>
          <cell r="Q136">
            <v>891126.86817749753</v>
          </cell>
          <cell r="R136">
            <v>5505.1081293429324</v>
          </cell>
          <cell r="S136">
            <v>29.227828981234779</v>
          </cell>
          <cell r="T136">
            <v>5.0000000000000001E-3</v>
          </cell>
          <cell r="U136">
            <v>20987.182222157717</v>
          </cell>
          <cell r="V136">
            <v>5712.3517190865223</v>
          </cell>
          <cell r="W136">
            <v>236.47141872482462</v>
          </cell>
          <cell r="X136">
            <v>4.3184183319201666E-2</v>
          </cell>
          <cell r="Y136">
            <v>53317.182222157717</v>
          </cell>
          <cell r="Z136">
            <v>120815</v>
          </cell>
          <cell r="AA136">
            <v>126920</v>
          </cell>
        </row>
        <row r="137">
          <cell r="C137">
            <v>2139</v>
          </cell>
          <cell r="D137" t="str">
            <v>Woodhouse West Primary School</v>
          </cell>
          <cell r="E137">
            <v>343</v>
          </cell>
          <cell r="F137">
            <v>360</v>
          </cell>
          <cell r="G137">
            <v>17</v>
          </cell>
          <cell r="I137">
            <v>1708703.5239642556</v>
          </cell>
          <cell r="J137">
            <v>4981.6429270094914</v>
          </cell>
          <cell r="K137">
            <v>52421</v>
          </cell>
          <cell r="L137">
            <v>152.83090379008746</v>
          </cell>
          <cell r="M137">
            <v>1761124.5239642556</v>
          </cell>
          <cell r="N137">
            <v>5134.4738307995785</v>
          </cell>
          <cell r="O137">
            <v>1882121.1672276908</v>
          </cell>
          <cell r="P137">
            <v>66902</v>
          </cell>
          <cell r="Q137">
            <v>1949023.1672276908</v>
          </cell>
          <cell r="R137">
            <v>5228.1143534102521</v>
          </cell>
          <cell r="S137">
            <v>93.640522610673543</v>
          </cell>
          <cell r="T137">
            <v>1.7999999999999999E-2</v>
          </cell>
          <cell r="U137">
            <v>120996.64326343522</v>
          </cell>
          <cell r="V137">
            <v>5413.9532422991415</v>
          </cell>
          <cell r="W137">
            <v>279.47941149956296</v>
          </cell>
          <cell r="X137">
            <v>5.4431947792407065E-2</v>
          </cell>
          <cell r="Y137">
            <v>187898.64326343522</v>
          </cell>
          <cell r="Z137">
            <v>251710</v>
          </cell>
          <cell r="AA137">
            <v>264430</v>
          </cell>
        </row>
        <row r="138">
          <cell r="C138">
            <v>2034</v>
          </cell>
          <cell r="D138" t="str">
            <v>Woodlands Primary School</v>
          </cell>
          <cell r="E138">
            <v>354</v>
          </cell>
          <cell r="F138">
            <v>395</v>
          </cell>
          <cell r="G138">
            <v>41</v>
          </cell>
          <cell r="I138">
            <v>1837206.594819898</v>
          </cell>
          <cell r="J138">
            <v>5189.8491379093166</v>
          </cell>
          <cell r="K138">
            <v>58078</v>
          </cell>
          <cell r="L138">
            <v>164.06214689265536</v>
          </cell>
          <cell r="M138">
            <v>1895284.594819898</v>
          </cell>
          <cell r="N138">
            <v>5353.9112848019722</v>
          </cell>
          <cell r="O138">
            <v>2166415.4733020924</v>
          </cell>
          <cell r="P138">
            <v>79387</v>
          </cell>
          <cell r="Q138">
            <v>2245802.4733020924</v>
          </cell>
          <cell r="R138">
            <v>5484.5961349420058</v>
          </cell>
          <cell r="S138">
            <v>130.68485014003363</v>
          </cell>
          <cell r="T138">
            <v>2.4E-2</v>
          </cell>
          <cell r="U138">
            <v>271130.87848219438</v>
          </cell>
          <cell r="V138">
            <v>5685.5758817774495</v>
          </cell>
          <cell r="W138">
            <v>331.66459697547725</v>
          </cell>
          <cell r="X138">
            <v>6.1948093521266609E-2</v>
          </cell>
          <cell r="Y138">
            <v>350517.87848219438</v>
          </cell>
          <cell r="Z138">
            <v>331320</v>
          </cell>
          <cell r="AA138">
            <v>348060</v>
          </cell>
        </row>
        <row r="139">
          <cell r="C139">
            <v>2324</v>
          </cell>
          <cell r="D139" t="str">
            <v>Woodseats Primary School</v>
          </cell>
          <cell r="E139">
            <v>375</v>
          </cell>
          <cell r="F139">
            <v>363</v>
          </cell>
          <cell r="G139">
            <v>-12</v>
          </cell>
          <cell r="I139">
            <v>1686658.8009336705</v>
          </cell>
          <cell r="J139">
            <v>4497.7568024897882</v>
          </cell>
          <cell r="K139">
            <v>51020</v>
          </cell>
          <cell r="L139">
            <v>136.05333333333334</v>
          </cell>
          <cell r="M139">
            <v>1737678.8009336705</v>
          </cell>
          <cell r="N139">
            <v>4633.8101358231215</v>
          </cell>
          <cell r="O139">
            <v>1709405.823537943</v>
          </cell>
          <cell r="P139">
            <v>60603.000000000015</v>
          </cell>
          <cell r="Q139">
            <v>1770008.823537943</v>
          </cell>
          <cell r="R139">
            <v>4709.1069518951599</v>
          </cell>
          <cell r="S139">
            <v>75.296816072038382</v>
          </cell>
          <cell r="T139">
            <v>1.6E-2</v>
          </cell>
          <cell r="U139">
            <v>-28272.977395727532</v>
          </cell>
          <cell r="V139">
            <v>4876.0573651183004</v>
          </cell>
          <cell r="W139">
            <v>242.24722929517884</v>
          </cell>
          <cell r="X139">
            <v>5.2278194875187207E-2</v>
          </cell>
          <cell r="Y139">
            <v>32330.022604272468</v>
          </cell>
          <cell r="Z139">
            <v>175535</v>
          </cell>
          <cell r="AA139">
            <v>184405</v>
          </cell>
        </row>
        <row r="140">
          <cell r="C140">
            <v>2327</v>
          </cell>
          <cell r="D140" t="str">
            <v>Woodthorpe Primary School</v>
          </cell>
          <cell r="E140">
            <v>396</v>
          </cell>
          <cell r="F140">
            <v>406</v>
          </cell>
          <cell r="G140">
            <v>10</v>
          </cell>
          <cell r="I140">
            <v>2051619.2377456888</v>
          </cell>
          <cell r="J140">
            <v>5180.8566609739619</v>
          </cell>
          <cell r="K140">
            <v>63342</v>
          </cell>
          <cell r="L140">
            <v>159.95454545454547</v>
          </cell>
          <cell r="M140">
            <v>2114961.2377456888</v>
          </cell>
          <cell r="N140">
            <v>5340.8112064285069</v>
          </cell>
          <cell r="O140">
            <v>2175368.9502295079</v>
          </cell>
          <cell r="P140">
            <v>79551.999999999985</v>
          </cell>
          <cell r="Q140">
            <v>2254920.9502295079</v>
          </cell>
          <cell r="R140">
            <v>5358.0516015505118</v>
          </cell>
          <cell r="S140">
            <v>17.240395122004884</v>
          </cell>
          <cell r="T140">
            <v>3.0000000000000001E-3</v>
          </cell>
          <cell r="U140">
            <v>60407.712483819108</v>
          </cell>
          <cell r="V140">
            <v>5553.9924882500191</v>
          </cell>
          <cell r="W140">
            <v>213.18128182151213</v>
          </cell>
          <cell r="X140">
            <v>3.9915524736188937E-2</v>
          </cell>
          <cell r="Y140">
            <v>139959.71248381911</v>
          </cell>
          <cell r="Z140">
            <v>348965</v>
          </cell>
          <cell r="AA140">
            <v>366595</v>
          </cell>
        </row>
        <row r="141">
          <cell r="C141">
            <v>2321</v>
          </cell>
          <cell r="D141" t="str">
            <v>Wybourn Community Primary &amp; Nursery School</v>
          </cell>
          <cell r="E141">
            <v>413</v>
          </cell>
          <cell r="F141">
            <v>424</v>
          </cell>
          <cell r="G141">
            <v>11</v>
          </cell>
          <cell r="I141">
            <v>2186390.3927434315</v>
          </cell>
          <cell r="J141">
            <v>5293.9234691124248</v>
          </cell>
          <cell r="K141">
            <v>67541</v>
          </cell>
          <cell r="L141">
            <v>163.53753026634382</v>
          </cell>
          <cell r="M141">
            <v>2253931.3927434315</v>
          </cell>
          <cell r="N141">
            <v>5457.460999378769</v>
          </cell>
          <cell r="O141">
            <v>2384204.2360101808</v>
          </cell>
          <cell r="P141">
            <v>85854.000000000015</v>
          </cell>
          <cell r="Q141">
            <v>2470058.2360101808</v>
          </cell>
          <cell r="R141">
            <v>5623.1231981372184</v>
          </cell>
          <cell r="S141">
            <v>165.66219875844945</v>
          </cell>
          <cell r="T141">
            <v>0.03</v>
          </cell>
          <cell r="U141">
            <v>130272.84326674929</v>
          </cell>
          <cell r="V141">
            <v>5825.6090471938223</v>
          </cell>
          <cell r="W141">
            <v>368.14804781505336</v>
          </cell>
          <cell r="X141">
            <v>6.7457751481313416E-2</v>
          </cell>
          <cell r="Y141">
            <v>216126.84326674929</v>
          </cell>
          <cell r="Z141">
            <v>387745</v>
          </cell>
          <cell r="AA141">
            <v>407335</v>
          </cell>
        </row>
        <row r="143">
          <cell r="D143" t="str">
            <v>Total Primary</v>
          </cell>
          <cell r="E143">
            <v>43067</v>
          </cell>
          <cell r="F143">
            <v>43411</v>
          </cell>
          <cell r="G143">
            <v>344</v>
          </cell>
          <cell r="I143">
            <v>206358983.98675981</v>
          </cell>
          <cell r="J143">
            <v>4753.6104670880613</v>
          </cell>
          <cell r="K143">
            <v>5901394</v>
          </cell>
          <cell r="L143">
            <v>137.02821185594539</v>
          </cell>
          <cell r="M143">
            <v>212260377.98675981</v>
          </cell>
          <cell r="N143">
            <v>4928.608400556338</v>
          </cell>
          <cell r="O143">
            <v>217052428.3488228</v>
          </cell>
          <cell r="P143">
            <v>7300051</v>
          </cell>
          <cell r="Q143">
            <v>224352479.3488228</v>
          </cell>
          <cell r="R143">
            <v>4999.9407603792315</v>
          </cell>
          <cell r="S143">
            <v>71.332359822893523</v>
          </cell>
          <cell r="T143">
            <v>1.4E-2</v>
          </cell>
          <cell r="U143">
            <v>4792050.3620629907</v>
          </cell>
          <cell r="V143">
            <v>5168.1020789390432</v>
          </cell>
          <cell r="W143">
            <v>239.49367838270518</v>
          </cell>
          <cell r="X143">
            <v>4.8592555731486256E-2</v>
          </cell>
          <cell r="Y143">
            <v>12092101.362062991</v>
          </cell>
          <cell r="Z143">
            <v>20695910</v>
          </cell>
          <cell r="AA143">
            <v>21741080</v>
          </cell>
        </row>
        <row r="145">
          <cell r="D145" t="str">
            <v>Secondary</v>
          </cell>
        </row>
        <row r="147">
          <cell r="C147">
            <v>5401</v>
          </cell>
          <cell r="D147" t="str">
            <v>All Saints' Catholic High School</v>
          </cell>
          <cell r="E147">
            <v>1023</v>
          </cell>
          <cell r="F147">
            <v>1034</v>
          </cell>
          <cell r="G147">
            <v>11</v>
          </cell>
          <cell r="I147">
            <v>6020686.0455373386</v>
          </cell>
          <cell r="J147">
            <v>5885.323602675795</v>
          </cell>
          <cell r="K147">
            <v>184069</v>
          </cell>
          <cell r="L147">
            <v>179.930596285435</v>
          </cell>
          <cell r="M147">
            <v>6204755.0455373386</v>
          </cell>
          <cell r="N147">
            <v>6065.25419896123</v>
          </cell>
          <cell r="O147">
            <v>6543720.9065458486</v>
          </cell>
          <cell r="P147">
            <v>229563.99999999994</v>
          </cell>
          <cell r="Q147">
            <v>6773284.9065458486</v>
          </cell>
          <cell r="R147">
            <v>6328.550199754206</v>
          </cell>
          <cell r="S147">
            <v>263.29600079297597</v>
          </cell>
          <cell r="T147">
            <v>4.2999999999999997E-2</v>
          </cell>
          <cell r="U147">
            <v>338965.86100850999</v>
          </cell>
          <cell r="V147">
            <v>6550.5656736420196</v>
          </cell>
          <cell r="W147">
            <v>485.31147468078962</v>
          </cell>
          <cell r="X147">
            <v>8.0015026371674056E-2</v>
          </cell>
          <cell r="Y147">
            <v>568529.86100850999</v>
          </cell>
          <cell r="Z147">
            <v>286755</v>
          </cell>
          <cell r="AA147">
            <v>301270</v>
          </cell>
        </row>
        <row r="148">
          <cell r="C148">
            <v>4017</v>
          </cell>
          <cell r="D148" t="str">
            <v>Bradfield School</v>
          </cell>
          <cell r="E148">
            <v>1081</v>
          </cell>
          <cell r="F148">
            <v>1065</v>
          </cell>
          <cell r="G148">
            <v>-16</v>
          </cell>
          <cell r="I148">
            <v>6434185.6524712406</v>
          </cell>
          <cell r="J148">
            <v>5952.0681336459211</v>
          </cell>
          <cell r="K148">
            <v>181315</v>
          </cell>
          <cell r="L148">
            <v>167.72895467160038</v>
          </cell>
          <cell r="M148">
            <v>6615500.6524712406</v>
          </cell>
          <cell r="N148">
            <v>6119.7970883175212</v>
          </cell>
          <cell r="O148">
            <v>6716932.9623664878</v>
          </cell>
          <cell r="P148">
            <v>220032</v>
          </cell>
          <cell r="Q148">
            <v>6936964.9623664878</v>
          </cell>
          <cell r="R148">
            <v>6306.9793073863739</v>
          </cell>
          <cell r="S148">
            <v>187.18221906885265</v>
          </cell>
          <cell r="T148">
            <v>3.1E-2</v>
          </cell>
          <cell r="U148">
            <v>101432.30989524722</v>
          </cell>
          <cell r="V148">
            <v>6513.5821242877819</v>
          </cell>
          <cell r="W148">
            <v>393.78503597026065</v>
          </cell>
          <cell r="X148">
            <v>6.4346093553000722E-2</v>
          </cell>
          <cell r="Y148">
            <v>321464.30989524722</v>
          </cell>
          <cell r="Z148">
            <v>182655</v>
          </cell>
          <cell r="AA148">
            <v>191915</v>
          </cell>
        </row>
        <row r="149">
          <cell r="C149">
            <v>4000</v>
          </cell>
          <cell r="D149" t="str">
            <v>Chaucer School</v>
          </cell>
          <cell r="E149">
            <v>820</v>
          </cell>
          <cell r="F149">
            <v>842</v>
          </cell>
          <cell r="G149">
            <v>22</v>
          </cell>
          <cell r="I149">
            <v>5414998.8919078568</v>
          </cell>
          <cell r="J149">
            <v>6603.6571852534835</v>
          </cell>
          <cell r="K149">
            <v>184262</v>
          </cell>
          <cell r="L149">
            <v>224.70975609756098</v>
          </cell>
          <cell r="M149">
            <v>5599260.8919078568</v>
          </cell>
          <cell r="N149">
            <v>6828.3669413510452</v>
          </cell>
          <cell r="O149">
            <v>6037925.7554882066</v>
          </cell>
          <cell r="P149">
            <v>229726.00000000006</v>
          </cell>
          <cell r="Q149">
            <v>6267651.7554882066</v>
          </cell>
          <cell r="R149">
            <v>7170.9332012924069</v>
          </cell>
          <cell r="S149">
            <v>342.56625994136175</v>
          </cell>
          <cell r="T149">
            <v>0.05</v>
          </cell>
          <cell r="U149">
            <v>438664.86358034983</v>
          </cell>
          <cell r="V149">
            <v>7443.7669305085592</v>
          </cell>
          <cell r="W149">
            <v>615.39998915751403</v>
          </cell>
          <cell r="X149">
            <v>9.0124036163140409E-2</v>
          </cell>
          <cell r="Y149">
            <v>668390.86358034983</v>
          </cell>
          <cell r="Z149">
            <v>504392.5</v>
          </cell>
          <cell r="AA149">
            <v>529977.5</v>
          </cell>
        </row>
        <row r="150">
          <cell r="C150">
            <v>4012</v>
          </cell>
          <cell r="D150" t="str">
            <v>Ecclesfield School</v>
          </cell>
          <cell r="E150">
            <v>1676</v>
          </cell>
          <cell r="F150">
            <v>1701</v>
          </cell>
          <cell r="G150">
            <v>25</v>
          </cell>
          <cell r="I150">
            <v>10296989.376331717</v>
          </cell>
          <cell r="J150">
            <v>6143.788410699115</v>
          </cell>
          <cell r="K150">
            <v>303238</v>
          </cell>
          <cell r="L150">
            <v>180.92959427207637</v>
          </cell>
          <cell r="M150">
            <v>10600227.376331717</v>
          </cell>
          <cell r="N150">
            <v>6324.7180049711915</v>
          </cell>
          <cell r="O150">
            <v>11397642.438226825</v>
          </cell>
          <cell r="P150">
            <v>379472</v>
          </cell>
          <cell r="Q150">
            <v>11777114.438226825</v>
          </cell>
          <cell r="R150">
            <v>6700.554049516064</v>
          </cell>
          <cell r="S150">
            <v>375.83604454487249</v>
          </cell>
          <cell r="T150">
            <v>5.8999999999999997E-2</v>
          </cell>
          <cell r="U150">
            <v>797415.06189510785</v>
          </cell>
          <cell r="V150">
            <v>6923.6416450481038</v>
          </cell>
          <cell r="W150">
            <v>598.92364007691231</v>
          </cell>
          <cell r="X150">
            <v>9.469570652891747E-2</v>
          </cell>
          <cell r="Y150">
            <v>1176887.0618951079</v>
          </cell>
          <cell r="Z150">
            <v>471985</v>
          </cell>
          <cell r="AA150">
            <v>495915</v>
          </cell>
        </row>
        <row r="151">
          <cell r="C151">
            <v>4280</v>
          </cell>
          <cell r="D151" t="str">
            <v>Fir Vale School</v>
          </cell>
          <cell r="E151">
            <v>986</v>
          </cell>
          <cell r="F151">
            <v>1025</v>
          </cell>
          <cell r="G151">
            <v>39</v>
          </cell>
          <cell r="I151">
            <v>7109459.8524381761</v>
          </cell>
          <cell r="J151">
            <v>7210.4055298561625</v>
          </cell>
          <cell r="K151">
            <v>225020</v>
          </cell>
          <cell r="L151">
            <v>228.21501014198782</v>
          </cell>
          <cell r="M151">
            <v>7334479.8524381761</v>
          </cell>
          <cell r="N151">
            <v>7438.62053999815</v>
          </cell>
          <cell r="O151">
            <v>8301945.9299370944</v>
          </cell>
          <cell r="P151">
            <v>292258</v>
          </cell>
          <cell r="Q151">
            <v>8594203.9299370944</v>
          </cell>
          <cell r="R151">
            <v>8099.4594438410677</v>
          </cell>
          <cell r="S151">
            <v>660.83890384291772</v>
          </cell>
          <cell r="T151">
            <v>8.8999999999999996E-2</v>
          </cell>
          <cell r="U151">
            <v>967466.0774989184</v>
          </cell>
          <cell r="V151">
            <v>8384.5891999386295</v>
          </cell>
          <cell r="W151">
            <v>945.96865994047948</v>
          </cell>
          <cell r="X151">
            <v>0.127169903996839</v>
          </cell>
          <cell r="Y151">
            <v>1259724.0774989184</v>
          </cell>
          <cell r="Z151">
            <v>625475</v>
          </cell>
          <cell r="AA151">
            <v>657225</v>
          </cell>
        </row>
        <row r="152">
          <cell r="C152">
            <v>4003</v>
          </cell>
          <cell r="D152" t="str">
            <v>Firth Park Academy</v>
          </cell>
          <cell r="E152">
            <v>1142</v>
          </cell>
          <cell r="F152">
            <v>1166</v>
          </cell>
          <cell r="G152">
            <v>24</v>
          </cell>
          <cell r="I152">
            <v>7420215.0267447783</v>
          </cell>
          <cell r="J152">
            <v>6497.5613193912241</v>
          </cell>
          <cell r="K152">
            <v>249398</v>
          </cell>
          <cell r="L152">
            <v>218.38704028021016</v>
          </cell>
          <cell r="M152">
            <v>7669613.0267447783</v>
          </cell>
          <cell r="N152">
            <v>6715.9483596714344</v>
          </cell>
          <cell r="O152">
            <v>8200062.7032523453</v>
          </cell>
          <cell r="P152">
            <v>306727.99999999988</v>
          </cell>
          <cell r="Q152">
            <v>8506790.7032523453</v>
          </cell>
          <cell r="R152">
            <v>7032.6438278322003</v>
          </cell>
          <cell r="S152">
            <v>316.69546816076581</v>
          </cell>
          <cell r="T152">
            <v>4.7E-2</v>
          </cell>
          <cell r="U152">
            <v>530449.67650756706</v>
          </cell>
          <cell r="V152">
            <v>7295.7038621375177</v>
          </cell>
          <cell r="W152">
            <v>579.75550246608327</v>
          </cell>
          <cell r="X152">
            <v>8.6325187660383787E-2</v>
          </cell>
          <cell r="Y152">
            <v>837177.67650756706</v>
          </cell>
          <cell r="Z152">
            <v>641555</v>
          </cell>
          <cell r="AA152">
            <v>674120</v>
          </cell>
        </row>
        <row r="153">
          <cell r="C153">
            <v>4007</v>
          </cell>
          <cell r="D153" t="str">
            <v>Forge Valley School</v>
          </cell>
          <cell r="E153">
            <v>1210</v>
          </cell>
          <cell r="F153">
            <v>1243</v>
          </cell>
          <cell r="G153">
            <v>33</v>
          </cell>
          <cell r="I153">
            <v>6795663.3216837635</v>
          </cell>
          <cell r="J153">
            <v>5616.2506790774905</v>
          </cell>
          <cell r="K153">
            <v>218476</v>
          </cell>
          <cell r="L153">
            <v>180.55867768595041</v>
          </cell>
          <cell r="M153">
            <v>7014139.3216837635</v>
          </cell>
          <cell r="N153">
            <v>5796.8093567634405</v>
          </cell>
          <cell r="O153">
            <v>7468809.2115293164</v>
          </cell>
          <cell r="P153">
            <v>275724.00000000006</v>
          </cell>
          <cell r="Q153">
            <v>7744533.2115293164</v>
          </cell>
          <cell r="R153">
            <v>6008.6960671997722</v>
          </cell>
          <cell r="S153">
            <v>211.88671043633167</v>
          </cell>
          <cell r="T153">
            <v>3.6999999999999998E-2</v>
          </cell>
          <cell r="U153">
            <v>454669.88984555285</v>
          </cell>
          <cell r="V153">
            <v>6230.5174670388706</v>
          </cell>
          <cell r="W153">
            <v>433.70811027543004</v>
          </cell>
          <cell r="X153">
            <v>7.4818418820242913E-2</v>
          </cell>
          <cell r="Y153">
            <v>730393.88984555285</v>
          </cell>
          <cell r="Z153">
            <v>317145</v>
          </cell>
          <cell r="AA153">
            <v>333240</v>
          </cell>
        </row>
        <row r="154">
          <cell r="C154">
            <v>4278</v>
          </cell>
          <cell r="D154" t="str">
            <v>Handsworth Grange Community Sports College</v>
          </cell>
          <cell r="E154">
            <v>1015</v>
          </cell>
          <cell r="F154">
            <v>1015</v>
          </cell>
          <cell r="G154">
            <v>0</v>
          </cell>
          <cell r="I154">
            <v>5987057.5536072254</v>
          </cell>
          <cell r="J154">
            <v>5898.5788705489904</v>
          </cell>
          <cell r="K154">
            <v>191529</v>
          </cell>
          <cell r="L154">
            <v>188.69852216748768</v>
          </cell>
          <cell r="M154">
            <v>6178586.5536072254</v>
          </cell>
          <cell r="N154">
            <v>6087.2773927164781</v>
          </cell>
          <cell r="O154">
            <v>6382726.7906334186</v>
          </cell>
          <cell r="P154">
            <v>234598</v>
          </cell>
          <cell r="Q154">
            <v>6617324.7906334186</v>
          </cell>
          <cell r="R154">
            <v>6288.4007789491807</v>
          </cell>
          <cell r="S154">
            <v>201.12338623270261</v>
          </cell>
          <cell r="T154">
            <v>3.3000000000000002E-2</v>
          </cell>
          <cell r="U154">
            <v>204140.23702619318</v>
          </cell>
          <cell r="V154">
            <v>6519.5318134319396</v>
          </cell>
          <cell r="W154">
            <v>432.25442071546149</v>
          </cell>
          <cell r="X154">
            <v>7.1009483029746703E-2</v>
          </cell>
          <cell r="Y154">
            <v>438738.23702619318</v>
          </cell>
          <cell r="Z154">
            <v>326182.5</v>
          </cell>
          <cell r="AA154">
            <v>342737.5</v>
          </cell>
        </row>
        <row r="155">
          <cell r="C155">
            <v>4257</v>
          </cell>
          <cell r="D155" t="str">
            <v>High Storrs School</v>
          </cell>
          <cell r="E155">
            <v>1206</v>
          </cell>
          <cell r="F155">
            <v>1214</v>
          </cell>
          <cell r="G155">
            <v>8</v>
          </cell>
          <cell r="I155">
            <v>6700407.9999999991</v>
          </cell>
          <cell r="J155">
            <v>5555.8938640132665</v>
          </cell>
          <cell r="K155">
            <v>191164</v>
          </cell>
          <cell r="L155">
            <v>158.51077943615257</v>
          </cell>
          <cell r="M155">
            <v>6891571.9999999991</v>
          </cell>
          <cell r="N155">
            <v>5714.4046434494185</v>
          </cell>
          <cell r="O155">
            <v>6975129.9999999991</v>
          </cell>
          <cell r="P155">
            <v>234310</v>
          </cell>
          <cell r="Q155">
            <v>7209439.9999999991</v>
          </cell>
          <cell r="R155">
            <v>5745.5766062602961</v>
          </cell>
          <cell r="S155">
            <v>31.171962810877631</v>
          </cell>
          <cell r="T155">
            <v>5.0000000000000001E-3</v>
          </cell>
          <cell r="U155">
            <v>83558</v>
          </cell>
          <cell r="V155">
            <v>5938.5831960461273</v>
          </cell>
          <cell r="W155">
            <v>224.17855259670887</v>
          </cell>
          <cell r="X155">
            <v>3.9230430217028996E-2</v>
          </cell>
          <cell r="Y155">
            <v>317868</v>
          </cell>
          <cell r="Z155">
            <v>150200</v>
          </cell>
          <cell r="AA155">
            <v>157780</v>
          </cell>
        </row>
        <row r="156">
          <cell r="C156">
            <v>4230</v>
          </cell>
          <cell r="D156" t="str">
            <v>King Ecgbert School</v>
          </cell>
          <cell r="E156">
            <v>1034</v>
          </cell>
          <cell r="F156">
            <v>1030</v>
          </cell>
          <cell r="G156">
            <v>-4</v>
          </cell>
          <cell r="I156">
            <v>6384879.7839946616</v>
          </cell>
          <cell r="J156">
            <v>6174.932092838164</v>
          </cell>
          <cell r="K156">
            <v>177818</v>
          </cell>
          <cell r="L156">
            <v>171.97098646034817</v>
          </cell>
          <cell r="M156">
            <v>6562697.7839946616</v>
          </cell>
          <cell r="N156">
            <v>6346.9030792985122</v>
          </cell>
          <cell r="O156">
            <v>6871403.4393724622</v>
          </cell>
          <cell r="P156">
            <v>217511.99999999994</v>
          </cell>
          <cell r="Q156">
            <v>7088915.4393724622</v>
          </cell>
          <cell r="R156">
            <v>6671.2654751188957</v>
          </cell>
          <cell r="S156">
            <v>324.36239582038343</v>
          </cell>
          <cell r="T156">
            <v>5.0999999999999997E-2</v>
          </cell>
          <cell r="U156">
            <v>308705.65537780058</v>
          </cell>
          <cell r="V156">
            <v>6882.4421741480219</v>
          </cell>
          <cell r="W156">
            <v>535.53909484950964</v>
          </cell>
          <cell r="X156">
            <v>8.4378016830958094E-2</v>
          </cell>
          <cell r="Y156">
            <v>526217.65537780058</v>
          </cell>
          <cell r="Z156">
            <v>221300</v>
          </cell>
          <cell r="AA156">
            <v>232510</v>
          </cell>
        </row>
        <row r="157">
          <cell r="C157">
            <v>4259</v>
          </cell>
          <cell r="D157" t="str">
            <v>King Edward VII School</v>
          </cell>
          <cell r="E157">
            <v>1135</v>
          </cell>
          <cell r="F157">
            <v>1141</v>
          </cell>
          <cell r="G157">
            <v>6</v>
          </cell>
          <cell r="I157">
            <v>7610434.6360058645</v>
          </cell>
          <cell r="J157">
            <v>6705.2287541901887</v>
          </cell>
          <cell r="K157">
            <v>212517</v>
          </cell>
          <cell r="L157">
            <v>187.23964757709251</v>
          </cell>
          <cell r="M157">
            <v>7822951.6360058645</v>
          </cell>
          <cell r="N157">
            <v>6892.4684017672816</v>
          </cell>
          <cell r="O157">
            <v>8248019.7090242468</v>
          </cell>
          <cell r="P157">
            <v>258540</v>
          </cell>
          <cell r="Q157">
            <v>8506559.7090242468</v>
          </cell>
          <cell r="R157">
            <v>7228.7639868748875</v>
          </cell>
          <cell r="S157">
            <v>336.2955851076058</v>
          </cell>
          <cell r="T157">
            <v>4.9000000000000002E-2</v>
          </cell>
          <cell r="U157">
            <v>425068.0730183823</v>
          </cell>
          <cell r="V157">
            <v>7455.3546967784814</v>
          </cell>
          <cell r="W157">
            <v>562.88629501119976</v>
          </cell>
          <cell r="X157">
            <v>8.1666866237191799E-2</v>
          </cell>
          <cell r="Y157">
            <v>683608.0730183823</v>
          </cell>
          <cell r="Z157">
            <v>364855</v>
          </cell>
          <cell r="AA157">
            <v>383360</v>
          </cell>
        </row>
        <row r="158">
          <cell r="C158">
            <v>4279</v>
          </cell>
          <cell r="D158" t="str">
            <v>Meadowhead School Academy Trust</v>
          </cell>
          <cell r="E158">
            <v>1623</v>
          </cell>
          <cell r="F158">
            <v>1640</v>
          </cell>
          <cell r="G158">
            <v>17</v>
          </cell>
          <cell r="I158">
            <v>10060046.390708793</v>
          </cell>
          <cell r="J158">
            <v>6198.4266116505196</v>
          </cell>
          <cell r="K158">
            <v>300511</v>
          </cell>
          <cell r="L158">
            <v>185.15773259396181</v>
          </cell>
          <cell r="M158">
            <v>10360557.390708793</v>
          </cell>
          <cell r="N158">
            <v>6383.5843442444811</v>
          </cell>
          <cell r="O158">
            <v>11103161.157099808</v>
          </cell>
          <cell r="P158">
            <v>375824</v>
          </cell>
          <cell r="Q158">
            <v>11478985.157099808</v>
          </cell>
          <cell r="R158">
            <v>6770.2202177437848</v>
          </cell>
          <cell r="S158">
            <v>386.63587349930367</v>
          </cell>
          <cell r="T158">
            <v>6.0999999999999999E-2</v>
          </cell>
          <cell r="U158">
            <v>742603.76639101468</v>
          </cell>
          <cell r="V158">
            <v>6999.3811933535417</v>
          </cell>
          <cell r="W158">
            <v>615.79684910906053</v>
          </cell>
          <cell r="X158">
            <v>9.6465686971657333E-2</v>
          </cell>
          <cell r="Y158">
            <v>1118427.7663910147</v>
          </cell>
          <cell r="Z158">
            <v>505377.5</v>
          </cell>
          <cell r="AA158">
            <v>531012.5</v>
          </cell>
        </row>
        <row r="159">
          <cell r="C159">
            <v>4015</v>
          </cell>
          <cell r="D159" t="str">
            <v>Mercia School</v>
          </cell>
          <cell r="E159">
            <v>716</v>
          </cell>
          <cell r="F159">
            <v>786</v>
          </cell>
          <cell r="G159">
            <v>70</v>
          </cell>
          <cell r="I159">
            <v>3965502.4748612228</v>
          </cell>
          <cell r="J159">
            <v>5538.4112777391383</v>
          </cell>
          <cell r="K159">
            <v>125473.9967</v>
          </cell>
          <cell r="L159">
            <v>175.24301215083798</v>
          </cell>
          <cell r="M159">
            <v>4090976.4715612228</v>
          </cell>
          <cell r="N159">
            <v>5713.6542898899761</v>
          </cell>
          <cell r="O159">
            <v>4636463.6174861956</v>
          </cell>
          <cell r="P159">
            <v>167481.99999999994</v>
          </cell>
          <cell r="Q159">
            <v>4803945.6174861956</v>
          </cell>
          <cell r="R159">
            <v>5898.8086736465593</v>
          </cell>
          <cell r="S159">
            <v>185.15438375658323</v>
          </cell>
          <cell r="T159">
            <v>3.2000000000000001E-2</v>
          </cell>
          <cell r="U159">
            <v>545487.14592497284</v>
          </cell>
          <cell r="V159">
            <v>6111.8900985829459</v>
          </cell>
          <cell r="W159">
            <v>398.23580869296984</v>
          </cell>
          <cell r="X159">
            <v>6.9698968206324291E-2</v>
          </cell>
          <cell r="Y159">
            <v>712969.14592497284</v>
          </cell>
          <cell r="Z159">
            <v>145465</v>
          </cell>
          <cell r="AA159">
            <v>152835</v>
          </cell>
        </row>
        <row r="160">
          <cell r="C160">
            <v>4008</v>
          </cell>
          <cell r="D160" t="str">
            <v>Newfield Secondary School</v>
          </cell>
          <cell r="E160">
            <v>1032</v>
          </cell>
          <cell r="F160">
            <v>1055</v>
          </cell>
          <cell r="G160">
            <v>23</v>
          </cell>
          <cell r="I160">
            <v>6820183.6504274486</v>
          </cell>
          <cell r="J160">
            <v>6608.7050876234971</v>
          </cell>
          <cell r="K160">
            <v>206136</v>
          </cell>
          <cell r="L160">
            <v>199.74418604651163</v>
          </cell>
          <cell r="M160">
            <v>7026319.6504274486</v>
          </cell>
          <cell r="N160">
            <v>6808.4492736700086</v>
          </cell>
          <cell r="O160">
            <v>7653124.1295238249</v>
          </cell>
          <cell r="P160">
            <v>254718.00000000003</v>
          </cell>
          <cell r="Q160">
            <v>7907842.1295238249</v>
          </cell>
          <cell r="R160">
            <v>7254.1460943353786</v>
          </cell>
          <cell r="S160">
            <v>445.69682066537007</v>
          </cell>
          <cell r="T160">
            <v>6.5000000000000002E-2</v>
          </cell>
          <cell r="U160">
            <v>626804.47909637634</v>
          </cell>
          <cell r="V160">
            <v>7495.5849568946205</v>
          </cell>
          <cell r="W160">
            <v>687.13568322461197</v>
          </cell>
          <cell r="X160">
            <v>0.10092396309420106</v>
          </cell>
          <cell r="Y160">
            <v>881522.47909637634</v>
          </cell>
          <cell r="Z160">
            <v>426452.5</v>
          </cell>
          <cell r="AA160">
            <v>448097.5</v>
          </cell>
        </row>
        <row r="161">
          <cell r="C161">
            <v>5400</v>
          </cell>
          <cell r="D161" t="str">
            <v>Notre Dame High School</v>
          </cell>
          <cell r="E161">
            <v>1066</v>
          </cell>
          <cell r="F161">
            <v>1067</v>
          </cell>
          <cell r="G161">
            <v>1</v>
          </cell>
          <cell r="I161">
            <v>5912792</v>
          </cell>
          <cell r="J161">
            <v>5546.7091932457788</v>
          </cell>
          <cell r="K161">
            <v>176414</v>
          </cell>
          <cell r="L161">
            <v>165.49155722326455</v>
          </cell>
          <cell r="M161">
            <v>6089206</v>
          </cell>
          <cell r="N161">
            <v>5712.2007504690428</v>
          </cell>
          <cell r="O161">
            <v>6268988.5988470754</v>
          </cell>
          <cell r="P161">
            <v>218348</v>
          </cell>
          <cell r="Q161">
            <v>6487336.5988470754</v>
          </cell>
          <cell r="R161">
            <v>5875.3407674293112</v>
          </cell>
          <cell r="S161">
            <v>163.14001696026844</v>
          </cell>
          <cell r="T161">
            <v>2.9000000000000001E-2</v>
          </cell>
          <cell r="U161">
            <v>179782.59884707537</v>
          </cell>
          <cell r="V161">
            <v>6079.9780682727978</v>
          </cell>
          <cell r="W161">
            <v>367.77731780375507</v>
          </cell>
          <cell r="X161">
            <v>6.4384522510620087E-2</v>
          </cell>
          <cell r="Y161">
            <v>398130.59884707537</v>
          </cell>
          <cell r="Z161">
            <v>194127.5</v>
          </cell>
          <cell r="AA161">
            <v>203932.5</v>
          </cell>
        </row>
        <row r="162">
          <cell r="C162">
            <v>4006</v>
          </cell>
          <cell r="D162" t="str">
            <v>Outwood Academy City</v>
          </cell>
          <cell r="E162">
            <v>1128</v>
          </cell>
          <cell r="F162">
            <v>1126</v>
          </cell>
          <cell r="G162">
            <v>-2</v>
          </cell>
          <cell r="I162">
            <v>6854047.492600915</v>
          </cell>
          <cell r="J162">
            <v>6076.2832381213784</v>
          </cell>
          <cell r="K162">
            <v>225534</v>
          </cell>
          <cell r="L162">
            <v>199.94148936170214</v>
          </cell>
          <cell r="M162">
            <v>7079581.492600915</v>
          </cell>
          <cell r="N162">
            <v>6276.2247274830806</v>
          </cell>
          <cell r="O162">
            <v>7405295.4853804</v>
          </cell>
          <cell r="P162">
            <v>279488</v>
          </cell>
          <cell r="Q162">
            <v>7684783.4853804</v>
          </cell>
          <cell r="R162">
            <v>6576.6389745829483</v>
          </cell>
          <cell r="S162">
            <v>300.41424709986768</v>
          </cell>
          <cell r="T162">
            <v>4.8000000000000001E-2</v>
          </cell>
          <cell r="U162">
            <v>325713.99277948495</v>
          </cell>
          <cell r="V162">
            <v>6824.8521184550618</v>
          </cell>
          <cell r="W162">
            <v>548.62739097198119</v>
          </cell>
          <cell r="X162">
            <v>8.7413598905977066E-2</v>
          </cell>
          <cell r="Y162">
            <v>605201.99277948495</v>
          </cell>
          <cell r="Z162">
            <v>464835</v>
          </cell>
          <cell r="AA162">
            <v>488410</v>
          </cell>
        </row>
        <row r="163">
          <cell r="C163">
            <v>6907</v>
          </cell>
          <cell r="D163" t="str">
            <v>Parkwood E-ACT Academy</v>
          </cell>
          <cell r="E163">
            <v>806</v>
          </cell>
          <cell r="F163">
            <v>793</v>
          </cell>
          <cell r="G163">
            <v>-13</v>
          </cell>
          <cell r="I163">
            <v>5386928.4544683043</v>
          </cell>
          <cell r="J163">
            <v>6683.5340626157622</v>
          </cell>
          <cell r="K163">
            <v>175652</v>
          </cell>
          <cell r="L163">
            <v>217.93052109181141</v>
          </cell>
          <cell r="M163">
            <v>5562580.4544683043</v>
          </cell>
          <cell r="N163">
            <v>6901.4645837075732</v>
          </cell>
          <cell r="O163">
            <v>5698898.0507333744</v>
          </cell>
          <cell r="P163">
            <v>207189.99999999994</v>
          </cell>
          <cell r="Q163">
            <v>5906088.0507333744</v>
          </cell>
          <cell r="R163">
            <v>7186.5044775956803</v>
          </cell>
          <cell r="S163">
            <v>285.03989388810714</v>
          </cell>
          <cell r="T163">
            <v>4.1000000000000002E-2</v>
          </cell>
          <cell r="U163">
            <v>136317.59626507014</v>
          </cell>
          <cell r="V163">
            <v>7447.778121984079</v>
          </cell>
          <cell r="W163">
            <v>546.31353827650582</v>
          </cell>
          <cell r="X163">
            <v>7.9159072925795951E-2</v>
          </cell>
          <cell r="Y163">
            <v>343507.59626507014</v>
          </cell>
          <cell r="Z163">
            <v>456080</v>
          </cell>
          <cell r="AA163">
            <v>479195</v>
          </cell>
        </row>
        <row r="164">
          <cell r="C164">
            <v>6905</v>
          </cell>
          <cell r="D164" t="str">
            <v>Sheffield Park Academy</v>
          </cell>
          <cell r="E164">
            <v>1010</v>
          </cell>
          <cell r="F164">
            <v>1029</v>
          </cell>
          <cell r="G164">
            <v>19</v>
          </cell>
          <cell r="I164">
            <v>6543572.8035028409</v>
          </cell>
          <cell r="J164">
            <v>6478.7849539632089</v>
          </cell>
          <cell r="K164">
            <v>217326</v>
          </cell>
          <cell r="L164">
            <v>215.17425742574258</v>
          </cell>
          <cell r="M164">
            <v>6760898.8035028409</v>
          </cell>
          <cell r="N164">
            <v>6693.9592113889512</v>
          </cell>
          <cell r="O164">
            <v>7251630.405465873</v>
          </cell>
          <cell r="P164">
            <v>274476</v>
          </cell>
          <cell r="Q164">
            <v>7526106.405465873</v>
          </cell>
          <cell r="R164">
            <v>7047.2598692574084</v>
          </cell>
          <cell r="S164">
            <v>353.30065786845717</v>
          </cell>
          <cell r="T164">
            <v>5.2999999999999999E-2</v>
          </cell>
          <cell r="U164">
            <v>490731.60196303204</v>
          </cell>
          <cell r="V164">
            <v>7314.0003940387496</v>
          </cell>
          <cell r="W164">
            <v>620.04118264979843</v>
          </cell>
          <cell r="X164">
            <v>9.2626973524857215E-2</v>
          </cell>
          <cell r="Y164">
            <v>765207.60196303204</v>
          </cell>
          <cell r="Z164">
            <v>549342.5</v>
          </cell>
          <cell r="AA164">
            <v>577212.5</v>
          </cell>
        </row>
        <row r="165">
          <cell r="C165">
            <v>6906</v>
          </cell>
          <cell r="D165" t="str">
            <v>Sheffield Springs Academy</v>
          </cell>
          <cell r="E165">
            <v>939</v>
          </cell>
          <cell r="F165">
            <v>981</v>
          </cell>
          <cell r="G165">
            <v>42</v>
          </cell>
          <cell r="I165">
            <v>6351087.0339751281</v>
          </cell>
          <cell r="J165">
            <v>6763.6709626998172</v>
          </cell>
          <cell r="K165">
            <v>211707</v>
          </cell>
          <cell r="L165">
            <v>225.46006389776358</v>
          </cell>
          <cell r="M165">
            <v>6562794.0339751281</v>
          </cell>
          <cell r="N165">
            <v>6989.1310265975808</v>
          </cell>
          <cell r="O165">
            <v>7169245.4957010895</v>
          </cell>
          <cell r="P165">
            <v>271590.00000000006</v>
          </cell>
          <cell r="Q165">
            <v>7440835.4957010895</v>
          </cell>
          <cell r="R165">
            <v>7308.0993839970333</v>
          </cell>
          <cell r="S165">
            <v>318.96835739945254</v>
          </cell>
          <cell r="T165">
            <v>4.5999999999999999E-2</v>
          </cell>
          <cell r="U165">
            <v>606451.46172596142</v>
          </cell>
          <cell r="V165">
            <v>7584.9495369022316</v>
          </cell>
          <cell r="W165">
            <v>595.81851030465077</v>
          </cell>
          <cell r="X165">
            <v>8.5249297521712744E-2</v>
          </cell>
          <cell r="Y165">
            <v>878041.46172596142</v>
          </cell>
          <cell r="Z165">
            <v>575627.5</v>
          </cell>
          <cell r="AA165">
            <v>604842.5</v>
          </cell>
        </row>
        <row r="166">
          <cell r="C166">
            <v>4229</v>
          </cell>
          <cell r="D166" t="str">
            <v>Silverdale School</v>
          </cell>
          <cell r="E166">
            <v>1015</v>
          </cell>
          <cell r="F166">
            <v>1021</v>
          </cell>
          <cell r="G166">
            <v>6</v>
          </cell>
          <cell r="I166">
            <v>6509944.4501884393</v>
          </cell>
          <cell r="J166">
            <v>6413.7383745698908</v>
          </cell>
          <cell r="K166">
            <v>168823</v>
          </cell>
          <cell r="L166">
            <v>166.328078817734</v>
          </cell>
          <cell r="M166">
            <v>6678767.4501884393</v>
          </cell>
          <cell r="N166">
            <v>6580.0664533876252</v>
          </cell>
          <cell r="O166">
            <v>7137522.5652794866</v>
          </cell>
          <cell r="P166">
            <v>206768.00000000003</v>
          </cell>
          <cell r="Q166">
            <v>7344290.5652794866</v>
          </cell>
          <cell r="R166">
            <v>6990.7174978251587</v>
          </cell>
          <cell r="S166">
            <v>410.65104443753353</v>
          </cell>
          <cell r="T166">
            <v>6.2E-2</v>
          </cell>
          <cell r="U166">
            <v>458755.11509104725</v>
          </cell>
          <cell r="V166">
            <v>7193.232679020065</v>
          </cell>
          <cell r="W166">
            <v>613.16622563243982</v>
          </cell>
          <cell r="X166">
            <v>9.318541537171901E-2</v>
          </cell>
          <cell r="Y166">
            <v>665523.11509104725</v>
          </cell>
          <cell r="Z166">
            <v>162200</v>
          </cell>
          <cell r="AA166">
            <v>170410</v>
          </cell>
        </row>
        <row r="167">
          <cell r="C167">
            <v>4271</v>
          </cell>
          <cell r="D167" t="str">
            <v>Stocksbridge High School</v>
          </cell>
          <cell r="E167">
            <v>798</v>
          </cell>
          <cell r="F167">
            <v>793</v>
          </cell>
          <cell r="G167">
            <v>-5</v>
          </cell>
          <cell r="I167">
            <v>4500017.5899561495</v>
          </cell>
          <cell r="J167">
            <v>5639.119786912468</v>
          </cell>
          <cell r="K167">
            <v>148770</v>
          </cell>
          <cell r="L167">
            <v>186.42857142857142</v>
          </cell>
          <cell r="M167">
            <v>4648787.5899561495</v>
          </cell>
          <cell r="N167">
            <v>5825.5483583410396</v>
          </cell>
          <cell r="O167">
            <v>4854152.1307613347</v>
          </cell>
          <cell r="P167">
            <v>183581.99999999997</v>
          </cell>
          <cell r="Q167">
            <v>5037734.1307613347</v>
          </cell>
          <cell r="R167">
            <v>6121.2511106700313</v>
          </cell>
          <cell r="S167">
            <v>295.70275232899166</v>
          </cell>
          <cell r="T167">
            <v>5.0999999999999997E-2</v>
          </cell>
          <cell r="U167">
            <v>205364.54080518521</v>
          </cell>
          <cell r="V167">
            <v>6352.7542632551513</v>
          </cell>
          <cell r="W167">
            <v>527.20590491411167</v>
          </cell>
          <cell r="X167">
            <v>9.0498932029163662E-2</v>
          </cell>
          <cell r="Y167">
            <v>388946.54080518521</v>
          </cell>
          <cell r="Z167">
            <v>246525</v>
          </cell>
          <cell r="AA167">
            <v>259015</v>
          </cell>
        </row>
        <row r="168">
          <cell r="C168">
            <v>4234</v>
          </cell>
          <cell r="D168" t="str">
            <v>Tapton School</v>
          </cell>
          <cell r="E168">
            <v>1354</v>
          </cell>
          <cell r="F168">
            <v>1357</v>
          </cell>
          <cell r="G168">
            <v>3</v>
          </cell>
          <cell r="I168">
            <v>8060978.4639486969</v>
          </cell>
          <cell r="J168">
            <v>5953.4552909517706</v>
          </cell>
          <cell r="K168">
            <v>225962</v>
          </cell>
          <cell r="L168">
            <v>166.88478581979319</v>
          </cell>
          <cell r="M168">
            <v>8286940.4639486969</v>
          </cell>
          <cell r="N168">
            <v>6120.340076771563</v>
          </cell>
          <cell r="O168">
            <v>8496757.2638700753</v>
          </cell>
          <cell r="P168">
            <v>279264</v>
          </cell>
          <cell r="Q168">
            <v>8776021.2638700753</v>
          </cell>
          <cell r="R168">
            <v>6261.4276078629882</v>
          </cell>
          <cell r="S168">
            <v>141.08753109142526</v>
          </cell>
          <cell r="T168">
            <v>2.3E-2</v>
          </cell>
          <cell r="U168">
            <v>209816.79992137849</v>
          </cell>
          <cell r="V168">
            <v>6467.2227441931282</v>
          </cell>
          <cell r="W168">
            <v>346.8826674215652</v>
          </cell>
          <cell r="X168">
            <v>5.6677024980700652E-2</v>
          </cell>
          <cell r="Y168">
            <v>489080.79992137849</v>
          </cell>
          <cell r="Z168">
            <v>226675</v>
          </cell>
          <cell r="AA168">
            <v>238165</v>
          </cell>
        </row>
        <row r="169">
          <cell r="C169">
            <v>4276</v>
          </cell>
          <cell r="D169" t="str">
            <v>The Birley Academy</v>
          </cell>
          <cell r="E169">
            <v>1074</v>
          </cell>
          <cell r="F169">
            <v>1076</v>
          </cell>
          <cell r="G169">
            <v>2</v>
          </cell>
          <cell r="I169">
            <v>6381622.7261507092</v>
          </cell>
          <cell r="J169">
            <v>5941.9206016300832</v>
          </cell>
          <cell r="K169">
            <v>203674</v>
          </cell>
          <cell r="L169">
            <v>189.64059590316575</v>
          </cell>
          <cell r="M169">
            <v>6585296.7261507092</v>
          </cell>
          <cell r="N169">
            <v>6131.5611975332486</v>
          </cell>
          <cell r="O169">
            <v>6863502.0052034706</v>
          </cell>
          <cell r="P169">
            <v>252448.00000000009</v>
          </cell>
          <cell r="Q169">
            <v>7115950.0052034706</v>
          </cell>
          <cell r="R169">
            <v>6378.7193356909575</v>
          </cell>
          <cell r="S169">
            <v>247.15813815770889</v>
          </cell>
          <cell r="T169">
            <v>0.04</v>
          </cell>
          <cell r="U169">
            <v>278205.27905276138</v>
          </cell>
          <cell r="V169">
            <v>6613.3364360627047</v>
          </cell>
          <cell r="W169">
            <v>481.77523852945615</v>
          </cell>
          <cell r="X169">
            <v>7.857301313787364E-2</v>
          </cell>
          <cell r="Y169">
            <v>530653.27905276138</v>
          </cell>
          <cell r="Z169">
            <v>360155</v>
          </cell>
          <cell r="AA169">
            <v>378425</v>
          </cell>
        </row>
        <row r="170">
          <cell r="C170">
            <v>4004</v>
          </cell>
          <cell r="D170" t="str">
            <v>UTC Sheffield City Centre</v>
          </cell>
          <cell r="E170">
            <v>313</v>
          </cell>
          <cell r="F170">
            <v>312</v>
          </cell>
          <cell r="G170">
            <v>-1</v>
          </cell>
          <cell r="I170">
            <v>1946178.1435323802</v>
          </cell>
          <cell r="J170">
            <v>6217.8215448318861</v>
          </cell>
          <cell r="K170">
            <v>61109</v>
          </cell>
          <cell r="L170">
            <v>195.23642172523961</v>
          </cell>
          <cell r="M170">
            <v>2007287.1435323802</v>
          </cell>
          <cell r="N170">
            <v>6413.0579665571249</v>
          </cell>
          <cell r="O170">
            <v>2057068.0610769331</v>
          </cell>
          <cell r="P170">
            <v>74269.999999999985</v>
          </cell>
          <cell r="Q170">
            <v>2131338.0610769331</v>
          </cell>
          <cell r="R170">
            <v>6593.1668624260674</v>
          </cell>
          <cell r="S170">
            <v>180.10889586894245</v>
          </cell>
          <cell r="T170">
            <v>2.8000000000000001E-2</v>
          </cell>
          <cell r="U170">
            <v>49780.917544552824</v>
          </cell>
          <cell r="V170">
            <v>6831.2117342209394</v>
          </cell>
          <cell r="W170">
            <v>418.15376766381451</v>
          </cell>
          <cell r="X170">
            <v>6.5203491040375233E-2</v>
          </cell>
          <cell r="Y170">
            <v>124050.91754455282</v>
          </cell>
          <cell r="Z170">
            <v>92260</v>
          </cell>
          <cell r="AA170">
            <v>96935</v>
          </cell>
        </row>
        <row r="171">
          <cell r="C171">
            <v>4010</v>
          </cell>
          <cell r="D171" t="str">
            <v>UTC Sheffield Olympic Legacy Park</v>
          </cell>
          <cell r="E171">
            <v>302</v>
          </cell>
          <cell r="F171">
            <v>301</v>
          </cell>
          <cell r="G171">
            <v>-1</v>
          </cell>
          <cell r="I171">
            <v>1934084.4715731195</v>
          </cell>
          <cell r="J171">
            <v>6404.2532171295352</v>
          </cell>
          <cell r="K171">
            <v>60240</v>
          </cell>
          <cell r="L171">
            <v>199.47019867549668</v>
          </cell>
          <cell r="M171">
            <v>1994324.4715731195</v>
          </cell>
          <cell r="N171">
            <v>6603.7234158050314</v>
          </cell>
          <cell r="O171">
            <v>2037540.4729476881</v>
          </cell>
          <cell r="P171">
            <v>72876</v>
          </cell>
          <cell r="Q171">
            <v>2110416.4729476878</v>
          </cell>
          <cell r="R171">
            <v>6769.2374516534492</v>
          </cell>
          <cell r="S171">
            <v>165.51403584841773</v>
          </cell>
          <cell r="T171">
            <v>2.5000000000000001E-2</v>
          </cell>
          <cell r="U171">
            <v>43216.001374568557</v>
          </cell>
          <cell r="V171">
            <v>7011.350408464079</v>
          </cell>
          <cell r="W171">
            <v>407.62699265904757</v>
          </cell>
          <cell r="X171">
            <v>6.1726842115079034E-2</v>
          </cell>
          <cell r="Y171">
            <v>116092.00137456832</v>
          </cell>
          <cell r="Z171">
            <v>98170</v>
          </cell>
          <cell r="AA171">
            <v>103145</v>
          </cell>
        </row>
        <row r="172">
          <cell r="C172">
            <v>4013</v>
          </cell>
          <cell r="D172" t="str">
            <v>Westfield School</v>
          </cell>
          <cell r="E172">
            <v>1191</v>
          </cell>
          <cell r="F172">
            <v>1245</v>
          </cell>
          <cell r="G172">
            <v>54</v>
          </cell>
          <cell r="I172">
            <v>7266463.7368567921</v>
          </cell>
          <cell r="J172">
            <v>6101.1450351442418</v>
          </cell>
          <cell r="K172">
            <v>214445</v>
          </cell>
          <cell r="L172">
            <v>180.05457598656591</v>
          </cell>
          <cell r="M172">
            <v>7480908.7368567921</v>
          </cell>
          <cell r="N172">
            <v>6281.1996111308081</v>
          </cell>
          <cell r="O172">
            <v>8229676.8943074979</v>
          </cell>
          <cell r="P172">
            <v>275191.99999999994</v>
          </cell>
          <cell r="Q172">
            <v>8504868.8943074979</v>
          </cell>
          <cell r="R172">
            <v>6610.1822444236932</v>
          </cell>
          <cell r="S172">
            <v>328.98263329288511</v>
          </cell>
          <cell r="T172">
            <v>5.1999999999999998E-2</v>
          </cell>
          <cell r="U172">
            <v>748768.15745070577</v>
          </cell>
          <cell r="V172">
            <v>6831.2199954277094</v>
          </cell>
          <cell r="W172">
            <v>550.02038429690128</v>
          </cell>
          <cell r="X172">
            <v>8.7566136780977216E-2</v>
          </cell>
          <cell r="Y172">
            <v>1023960.1574507058</v>
          </cell>
          <cell r="Z172">
            <v>309800</v>
          </cell>
          <cell r="AA172">
            <v>325515</v>
          </cell>
        </row>
        <row r="173">
          <cell r="C173">
            <v>4016</v>
          </cell>
          <cell r="D173" t="str">
            <v>Yewlands Academy</v>
          </cell>
          <cell r="E173">
            <v>876</v>
          </cell>
          <cell r="F173">
            <v>901</v>
          </cell>
          <cell r="G173">
            <v>25</v>
          </cell>
          <cell r="I173">
            <v>5346260.5287446668</v>
          </cell>
          <cell r="J173">
            <v>6103.0371332701679</v>
          </cell>
          <cell r="K173">
            <v>174214</v>
          </cell>
          <cell r="L173">
            <v>198.8744292237443</v>
          </cell>
          <cell r="M173">
            <v>5520474.5287446668</v>
          </cell>
          <cell r="N173">
            <v>6301.9115624939122</v>
          </cell>
          <cell r="O173">
            <v>5961256.2164553273</v>
          </cell>
          <cell r="P173">
            <v>221503.99999999994</v>
          </cell>
          <cell r="Q173">
            <v>6182760.2164553273</v>
          </cell>
          <cell r="R173">
            <v>6616.2666109382099</v>
          </cell>
          <cell r="S173">
            <v>314.35504844429761</v>
          </cell>
          <cell r="T173">
            <v>0.05</v>
          </cell>
          <cell r="U173">
            <v>440781.68771066051</v>
          </cell>
          <cell r="V173">
            <v>6862.1090082745031</v>
          </cell>
          <cell r="W173">
            <v>560.1974457805909</v>
          </cell>
          <cell r="X173">
            <v>8.8893257264133829E-2</v>
          </cell>
          <cell r="Y173">
            <v>662285.68771066051</v>
          </cell>
          <cell r="Z173">
            <v>353442.5</v>
          </cell>
          <cell r="AA173">
            <v>371382.5</v>
          </cell>
        </row>
        <row r="175">
          <cell r="D175" t="str">
            <v>Total Secondary</v>
          </cell>
          <cell r="E175">
            <v>27571</v>
          </cell>
          <cell r="F175">
            <v>27959</v>
          </cell>
          <cell r="G175">
            <v>388</v>
          </cell>
          <cell r="I175">
            <v>170014688.55221823</v>
          </cell>
          <cell r="J175">
            <v>6080.8572750176409</v>
          </cell>
          <cell r="K175">
            <v>5214796.9967</v>
          </cell>
          <cell r="L175">
            <v>189.14065491639766</v>
          </cell>
          <cell r="M175">
            <v>175229485.54891822</v>
          </cell>
          <cell r="N175">
            <v>6355.5723604119621</v>
          </cell>
          <cell r="O175">
            <v>185968602.3965157</v>
          </cell>
          <cell r="P175">
            <v>6493484</v>
          </cell>
          <cell r="Q175">
            <v>192462086.3965157</v>
          </cell>
          <cell r="R175">
            <v>6651.4754603711044</v>
          </cell>
          <cell r="S175">
            <v>295.90309995914231</v>
          </cell>
          <cell r="T175">
            <v>4.7E-2</v>
          </cell>
          <cell r="U175">
            <v>10739116.84759748</v>
          </cell>
          <cell r="V175">
            <v>6883.7256839127185</v>
          </cell>
          <cell r="W175">
            <v>528.15332350075641</v>
          </cell>
          <cell r="X175">
            <v>8.3100827675341271E-2</v>
          </cell>
          <cell r="Y175">
            <v>17232600.84759748</v>
          </cell>
          <cell r="Z175">
            <v>9259035</v>
          </cell>
          <cell r="AA175">
            <v>9728580</v>
          </cell>
        </row>
        <row r="177">
          <cell r="D177" t="str">
            <v>Middle Deemed Secondary</v>
          </cell>
        </row>
        <row r="179">
          <cell r="C179">
            <v>4014</v>
          </cell>
          <cell r="D179" t="str">
            <v>Astrea Academy Sheffield</v>
          </cell>
          <cell r="E179">
            <v>891.5</v>
          </cell>
          <cell r="F179">
            <v>979</v>
          </cell>
          <cell r="G179">
            <v>87.5</v>
          </cell>
          <cell r="I179">
            <v>5437866.102535218</v>
          </cell>
          <cell r="J179">
            <v>6099.6815507966548</v>
          </cell>
          <cell r="K179">
            <v>179943.45079999999</v>
          </cell>
          <cell r="L179">
            <v>201.843466965788</v>
          </cell>
          <cell r="M179">
            <v>5617809.5533352178</v>
          </cell>
          <cell r="N179">
            <v>6301.525017762443</v>
          </cell>
          <cell r="O179">
            <v>6448585.0980060901</v>
          </cell>
          <cell r="P179">
            <v>234757.99999999994</v>
          </cell>
          <cell r="Q179">
            <v>6683343.0980060901</v>
          </cell>
          <cell r="R179">
            <v>6586.9102124679166</v>
          </cell>
          <cell r="S179">
            <v>285.38519470547362</v>
          </cell>
          <cell r="T179">
            <v>4.4999999999999998E-2</v>
          </cell>
          <cell r="U179">
            <v>830775.54467087239</v>
          </cell>
          <cell r="V179">
            <v>6826.703879475067</v>
          </cell>
          <cell r="W179">
            <v>525.17886171262398</v>
          </cell>
          <cell r="X179">
            <v>8.3341549899790049E-2</v>
          </cell>
          <cell r="Y179">
            <v>1065533.5446708724</v>
          </cell>
          <cell r="Z179">
            <v>450365</v>
          </cell>
          <cell r="AA179">
            <v>473195</v>
          </cell>
        </row>
        <row r="180">
          <cell r="C180">
            <v>4225</v>
          </cell>
          <cell r="D180" t="str">
            <v>Hinde House 2-16 School</v>
          </cell>
          <cell r="E180">
            <v>1282</v>
          </cell>
          <cell r="F180">
            <v>1322</v>
          </cell>
          <cell r="G180">
            <v>40</v>
          </cell>
          <cell r="I180">
            <v>8383664.955516655</v>
          </cell>
          <cell r="J180">
            <v>6539.5202461128356</v>
          </cell>
          <cell r="K180">
            <v>241081</v>
          </cell>
          <cell r="L180">
            <v>188.05070202808113</v>
          </cell>
          <cell r="M180">
            <v>8624745.955516655</v>
          </cell>
          <cell r="N180">
            <v>6727.5709481409167</v>
          </cell>
          <cell r="O180">
            <v>9427845.1797199771</v>
          </cell>
          <cell r="P180">
            <v>303353</v>
          </cell>
          <cell r="Q180">
            <v>9731198.1797199771</v>
          </cell>
          <cell r="R180">
            <v>7131.5016488048241</v>
          </cell>
          <cell r="S180">
            <v>403.93070066390737</v>
          </cell>
          <cell r="T180">
            <v>0.06</v>
          </cell>
          <cell r="U180">
            <v>803099.22420332208</v>
          </cell>
          <cell r="V180">
            <v>7360.9668530408298</v>
          </cell>
          <cell r="W180">
            <v>633.39590489991315</v>
          </cell>
          <cell r="X180">
            <v>9.4149271673596324E-2</v>
          </cell>
          <cell r="Y180">
            <v>1106452.2242033221</v>
          </cell>
          <cell r="Z180">
            <v>719480</v>
          </cell>
          <cell r="AA180">
            <v>755935</v>
          </cell>
        </row>
        <row r="181">
          <cell r="C181">
            <v>4005</v>
          </cell>
          <cell r="D181" t="str">
            <v>Oasis Academy Don Valley</v>
          </cell>
          <cell r="E181">
            <v>997.75</v>
          </cell>
          <cell r="F181">
            <v>1061</v>
          </cell>
          <cell r="G181">
            <v>63.25</v>
          </cell>
          <cell r="I181">
            <v>5681222.4029679932</v>
          </cell>
          <cell r="J181">
            <v>5694.0339794216916</v>
          </cell>
          <cell r="K181">
            <v>180729.09349999999</v>
          </cell>
          <cell r="L181">
            <v>181.13665096467051</v>
          </cell>
          <cell r="M181">
            <v>5861951.4964679936</v>
          </cell>
          <cell r="N181">
            <v>5875.170630386363</v>
          </cell>
          <cell r="O181">
            <v>6558089.9769353857</v>
          </cell>
          <cell r="P181">
            <v>241237.99999999994</v>
          </cell>
          <cell r="Q181">
            <v>6799327.9769353857</v>
          </cell>
          <cell r="R181">
            <v>6181.046161107809</v>
          </cell>
          <cell r="S181">
            <v>305.87553072144601</v>
          </cell>
          <cell r="T181">
            <v>5.1999999999999998E-2</v>
          </cell>
          <cell r="U181">
            <v>696138.48046739213</v>
          </cell>
          <cell r="V181">
            <v>6408.4146813717116</v>
          </cell>
          <cell r="W181">
            <v>533.24405098534862</v>
          </cell>
          <cell r="X181">
            <v>9.0762308796175584E-2</v>
          </cell>
          <cell r="Y181">
            <v>937376.48046739213</v>
          </cell>
          <cell r="Z181">
            <v>491705</v>
          </cell>
          <cell r="AA181">
            <v>516615</v>
          </cell>
        </row>
        <row r="183">
          <cell r="D183" t="str">
            <v>Total Middle Deemed Secondary</v>
          </cell>
          <cell r="E183">
            <v>3171.25</v>
          </cell>
          <cell r="F183">
            <v>3362</v>
          </cell>
          <cell r="G183">
            <v>190.75</v>
          </cell>
          <cell r="I183">
            <v>19502753.461019866</v>
          </cell>
          <cell r="J183">
            <v>5800.9379717489192</v>
          </cell>
          <cell r="K183">
            <v>601753.54429999995</v>
          </cell>
          <cell r="L183">
            <v>189.75279284193928</v>
          </cell>
          <cell r="M183">
            <v>20104507.005319867</v>
          </cell>
          <cell r="N183">
            <v>6339.615925997593</v>
          </cell>
          <cell r="O183">
            <v>22434520.254661452</v>
          </cell>
          <cell r="P183">
            <v>779349</v>
          </cell>
          <cell r="Q183">
            <v>23213869.254661452</v>
          </cell>
          <cell r="R183">
            <v>6672.9685468951375</v>
          </cell>
          <cell r="S183">
            <v>333.35262089754451</v>
          </cell>
          <cell r="T183">
            <v>5.2999999999999999E-2</v>
          </cell>
          <cell r="U183">
            <v>2330013.2493415847</v>
          </cell>
          <cell r="V183">
            <v>6904.7796712258933</v>
          </cell>
          <cell r="W183">
            <v>565.16374522830029</v>
          </cell>
          <cell r="X183">
            <v>8.9147947103651537E-2</v>
          </cell>
          <cell r="Y183">
            <v>3109362.2493415847</v>
          </cell>
          <cell r="Z183">
            <v>1661550</v>
          </cell>
          <cell r="AA183">
            <v>1745745</v>
          </cell>
        </row>
        <row r="185">
          <cell r="D185" t="str">
            <v>Total All Schools</v>
          </cell>
          <cell r="E185">
            <v>73809.25</v>
          </cell>
          <cell r="F185">
            <v>74732</v>
          </cell>
          <cell r="G185">
            <v>922.75</v>
          </cell>
          <cell r="I185">
            <v>395876425.99999791</v>
          </cell>
          <cell r="J185">
            <v>5297.2812985066357</v>
          </cell>
          <cell r="K185">
            <v>11717944.541000001</v>
          </cell>
          <cell r="L185">
            <v>158.75983756778453</v>
          </cell>
          <cell r="M185">
            <v>407594370.54099786</v>
          </cell>
          <cell r="N185">
            <v>5522.2667963838931</v>
          </cell>
          <cell r="O185">
            <v>425455550.99999994</v>
          </cell>
          <cell r="P185">
            <v>14572884</v>
          </cell>
          <cell r="Q185">
            <v>440028434.99999994</v>
          </cell>
          <cell r="R185">
            <v>5693.0839667077016</v>
          </cell>
          <cell r="S185">
            <v>170.81717032380857</v>
          </cell>
          <cell r="T185">
            <v>3.1E-2</v>
          </cell>
          <cell r="U185">
            <v>17861180.459002078</v>
          </cell>
          <cell r="V185">
            <v>5888.0858935931055</v>
          </cell>
          <cell r="W185">
            <v>365.81909720921249</v>
          </cell>
          <cell r="X185">
            <v>6.6244372229309748E-2</v>
          </cell>
          <cell r="Y185">
            <v>32434064.459002078</v>
          </cell>
          <cell r="Z185">
            <v>31616495</v>
          </cell>
          <cell r="AA185">
            <v>33215405</v>
          </cell>
        </row>
        <row r="187">
          <cell r="G187">
            <v>1.2501820571269862E-2</v>
          </cell>
        </row>
        <row r="189">
          <cell r="C189">
            <v>4998</v>
          </cell>
          <cell r="D189" t="str">
            <v>Astrea 3-16 Academy - Pri</v>
          </cell>
          <cell r="E189">
            <v>196</v>
          </cell>
          <cell r="F189">
            <v>243</v>
          </cell>
          <cell r="G189">
            <v>47</v>
          </cell>
          <cell r="I189">
            <v>988738.49328680127</v>
          </cell>
          <cell r="J189">
            <v>5044.5841494224551</v>
          </cell>
          <cell r="K189">
            <v>44664.206889070483</v>
          </cell>
          <cell r="L189">
            <v>227.87860657689021</v>
          </cell>
          <cell r="M189">
            <v>1033402.7001758717</v>
          </cell>
          <cell r="N189">
            <v>4252.6860089542042</v>
          </cell>
          <cell r="O189">
            <v>1298797.8043189947</v>
          </cell>
          <cell r="P189">
            <v>36679.000000000007</v>
          </cell>
          <cell r="Q189">
            <v>1335476.8043189947</v>
          </cell>
          <cell r="R189">
            <v>5344.8469313538881</v>
          </cell>
          <cell r="S189">
            <v>1092.1609223996838</v>
          </cell>
          <cell r="T189">
            <v>0.25700000000000001</v>
          </cell>
          <cell r="U189">
            <v>265395.10414312303</v>
          </cell>
          <cell r="V189">
            <v>5495.7893181851632</v>
          </cell>
          <cell r="W189">
            <v>1243.103309230959</v>
          </cell>
          <cell r="X189">
            <v>0.29231015565540325</v>
          </cell>
          <cell r="Y189">
            <v>302074.10414312303</v>
          </cell>
          <cell r="Z189">
            <v>94665</v>
          </cell>
          <cell r="AA189">
            <v>99445</v>
          </cell>
        </row>
        <row r="190">
          <cell r="C190">
            <v>4998</v>
          </cell>
          <cell r="D190" t="str">
            <v>Astrea 3-16 Academy - Sec</v>
          </cell>
          <cell r="E190">
            <v>695.5</v>
          </cell>
          <cell r="F190">
            <v>736</v>
          </cell>
          <cell r="G190">
            <v>40.5</v>
          </cell>
          <cell r="I190">
            <v>4449127.6092484165</v>
          </cell>
          <cell r="J190">
            <v>6397.0202864822668</v>
          </cell>
          <cell r="K190">
            <v>135279.24391092951</v>
          </cell>
          <cell r="L190">
            <v>194.50646141039468</v>
          </cell>
          <cell r="M190">
            <v>4584406.8531593457</v>
          </cell>
          <cell r="N190">
            <v>6228.8136591838938</v>
          </cell>
          <cell r="O190">
            <v>5149787.293687094</v>
          </cell>
          <cell r="P190">
            <v>198078.99999999994</v>
          </cell>
          <cell r="Q190">
            <v>5347866.293687094</v>
          </cell>
          <cell r="R190">
            <v>6996.993605553117</v>
          </cell>
          <cell r="S190">
            <v>768.17994636922322</v>
          </cell>
          <cell r="T190">
            <v>0.123</v>
          </cell>
          <cell r="U190">
            <v>565380.44052774832</v>
          </cell>
          <cell r="V190">
            <v>7266.1226816400731</v>
          </cell>
          <cell r="W190">
            <v>1037.3090224561793</v>
          </cell>
          <cell r="X190">
            <v>0.16653396284005847</v>
          </cell>
          <cell r="Y190">
            <v>763459.44052774832</v>
          </cell>
          <cell r="Z190">
            <v>355700</v>
          </cell>
          <cell r="AA190">
            <v>373750</v>
          </cell>
        </row>
        <row r="191">
          <cell r="E191">
            <v>891.5</v>
          </cell>
          <cell r="F191">
            <v>979</v>
          </cell>
          <cell r="G191">
            <v>87.5</v>
          </cell>
          <cell r="I191">
            <v>5437866.102535218</v>
          </cell>
          <cell r="J191">
            <v>6099.6815507966548</v>
          </cell>
          <cell r="K191">
            <v>179943.45079999999</v>
          </cell>
          <cell r="L191">
            <v>201.843466965788</v>
          </cell>
          <cell r="M191">
            <v>5617809.5533352178</v>
          </cell>
          <cell r="N191">
            <v>5738.3141504956257</v>
          </cell>
          <cell r="O191">
            <v>6448585.0980060883</v>
          </cell>
          <cell r="P191">
            <v>234757.99999999994</v>
          </cell>
          <cell r="Q191">
            <v>6683343.0980060883</v>
          </cell>
          <cell r="R191">
            <v>6586.9102124679148</v>
          </cell>
          <cell r="S191">
            <v>848.59606197228914</v>
          </cell>
          <cell r="T191">
            <v>0.14799999999999999</v>
          </cell>
          <cell r="U191">
            <v>830775.54467087053</v>
          </cell>
          <cell r="V191">
            <v>6826.7038794750642</v>
          </cell>
          <cell r="W191">
            <v>1088.3897289794386</v>
          </cell>
          <cell r="X191">
            <v>0.18967064200997658</v>
          </cell>
          <cell r="Y191">
            <v>1065533.5446708705</v>
          </cell>
          <cell r="Z191">
            <v>450365</v>
          </cell>
          <cell r="AA191">
            <v>473195</v>
          </cell>
        </row>
        <row r="193">
          <cell r="C193">
            <v>4225</v>
          </cell>
          <cell r="D193" t="str">
            <v>Hinde House 3-16 - Pri</v>
          </cell>
          <cell r="E193">
            <v>427</v>
          </cell>
          <cell r="F193">
            <v>419</v>
          </cell>
          <cell r="G193">
            <v>-8</v>
          </cell>
          <cell r="I193">
            <v>2275234.4338318082</v>
          </cell>
          <cell r="J193">
            <v>5328.4178778262485</v>
          </cell>
          <cell r="K193">
            <v>76409.182299546141</v>
          </cell>
          <cell r="L193">
            <v>178.94422084202844</v>
          </cell>
          <cell r="M193">
            <v>2351643.6161313541</v>
          </cell>
          <cell r="N193">
            <v>5612.5145969722053</v>
          </cell>
          <cell r="O193">
            <v>2375865.51917875</v>
          </cell>
          <cell r="P193">
            <v>71563.999999999971</v>
          </cell>
          <cell r="Q193">
            <v>2447429.51917875</v>
          </cell>
          <cell r="R193">
            <v>5670.3234347941525</v>
          </cell>
          <cell r="S193">
            <v>57.808837821947236</v>
          </cell>
          <cell r="T193">
            <v>0.01</v>
          </cell>
          <cell r="U193">
            <v>24221.90304739587</v>
          </cell>
          <cell r="V193">
            <v>5841.1205708323387</v>
          </cell>
          <cell r="W193">
            <v>228.60597386013342</v>
          </cell>
          <cell r="X193">
            <v>4.0731470700042356E-2</v>
          </cell>
          <cell r="Y193">
            <v>95785.90304739587</v>
          </cell>
          <cell r="Z193">
            <v>279570</v>
          </cell>
          <cell r="AA193">
            <v>293697.5</v>
          </cell>
        </row>
        <row r="194">
          <cell r="C194">
            <v>4225</v>
          </cell>
          <cell r="D194" t="str">
            <v>Hinde House 3-16 Sec</v>
          </cell>
          <cell r="E194">
            <v>855</v>
          </cell>
          <cell r="F194">
            <v>903</v>
          </cell>
          <cell r="G194">
            <v>48</v>
          </cell>
          <cell r="I194">
            <v>6108430.521684845</v>
          </cell>
          <cell r="J194">
            <v>7144.3631832571282</v>
          </cell>
          <cell r="K194">
            <v>164671.81770045386</v>
          </cell>
          <cell r="L194">
            <v>192.59861719351329</v>
          </cell>
          <cell r="M194">
            <v>6273102.339385299</v>
          </cell>
          <cell r="N194">
            <v>6946.9571864731997</v>
          </cell>
          <cell r="O194">
            <v>7051979.6605412262</v>
          </cell>
          <cell r="P194">
            <v>231789</v>
          </cell>
          <cell r="Q194">
            <v>7283768.6605412262</v>
          </cell>
          <cell r="R194">
            <v>7809.5012852062309</v>
          </cell>
          <cell r="S194">
            <v>862.54409873303121</v>
          </cell>
          <cell r="T194">
            <v>0.124</v>
          </cell>
          <cell r="U194">
            <v>778877.32115592714</v>
          </cell>
          <cell r="V194">
            <v>8066.1889928474266</v>
          </cell>
          <cell r="W194">
            <v>1119.2318063742268</v>
          </cell>
          <cell r="X194">
            <v>0.16111108451244588</v>
          </cell>
          <cell r="Y194">
            <v>1010666.3211559271</v>
          </cell>
          <cell r="Z194">
            <v>439910</v>
          </cell>
          <cell r="AA194">
            <v>462237.5</v>
          </cell>
        </row>
        <row r="195">
          <cell r="E195">
            <v>1282</v>
          </cell>
          <cell r="F195">
            <v>1322</v>
          </cell>
          <cell r="G195">
            <v>40</v>
          </cell>
          <cell r="I195">
            <v>8383664.955516655</v>
          </cell>
          <cell r="J195">
            <v>6539.5202461128356</v>
          </cell>
          <cell r="K195">
            <v>241081</v>
          </cell>
          <cell r="L195">
            <v>188.05070202808113</v>
          </cell>
          <cell r="M195">
            <v>8624745.955516655</v>
          </cell>
          <cell r="N195">
            <v>6524.0135820852156</v>
          </cell>
          <cell r="O195">
            <v>9427845.1797199771</v>
          </cell>
          <cell r="P195">
            <v>303353</v>
          </cell>
          <cell r="Q195">
            <v>9731198.1797199771</v>
          </cell>
          <cell r="R195">
            <v>7131.5016488048241</v>
          </cell>
          <cell r="S195">
            <v>607.48806671960847</v>
          </cell>
          <cell r="T195">
            <v>9.2999999999999999E-2</v>
          </cell>
          <cell r="U195">
            <v>803099.22420332208</v>
          </cell>
          <cell r="V195">
            <v>7360.9668530408298</v>
          </cell>
          <cell r="W195">
            <v>836.95327095561424</v>
          </cell>
          <cell r="X195">
            <v>0.12828809450272571</v>
          </cell>
          <cell r="Y195">
            <v>1106452.2242033221</v>
          </cell>
          <cell r="Z195">
            <v>719480</v>
          </cell>
          <cell r="AA195">
            <v>755935</v>
          </cell>
        </row>
        <row r="197">
          <cell r="C197">
            <v>4005</v>
          </cell>
          <cell r="D197" t="str">
            <v>Oasis Academy Don Valley - Pri</v>
          </cell>
          <cell r="E197">
            <v>418.25</v>
          </cell>
          <cell r="F197">
            <v>414</v>
          </cell>
          <cell r="G197">
            <v>-4.25</v>
          </cell>
          <cell r="I197">
            <v>1924559.8978912374</v>
          </cell>
          <cell r="J197">
            <v>4601.458213726808</v>
          </cell>
          <cell r="K197">
            <v>70520.117539114042</v>
          </cell>
          <cell r="L197">
            <v>168.60757331527566</v>
          </cell>
          <cell r="M197">
            <v>1995080.0154303515</v>
          </cell>
          <cell r="N197">
            <v>4819.033853696501</v>
          </cell>
          <cell r="O197">
            <v>2009650.198125778</v>
          </cell>
          <cell r="P197">
            <v>69200.999999999971</v>
          </cell>
          <cell r="Q197">
            <v>2078851.198125778</v>
          </cell>
          <cell r="R197">
            <v>4854.2275317047779</v>
          </cell>
          <cell r="S197">
            <v>35.193678008276947</v>
          </cell>
          <cell r="T197">
            <v>7.0000000000000001E-3</v>
          </cell>
          <cell r="U197">
            <v>14570.182695426513</v>
          </cell>
          <cell r="V197">
            <v>5021.3797056178209</v>
          </cell>
          <cell r="W197">
            <v>202.34585192131999</v>
          </cell>
          <cell r="X197">
            <v>4.1988883677608543E-2</v>
          </cell>
          <cell r="Y197">
            <v>83771.182695426513</v>
          </cell>
          <cell r="Z197">
            <v>225755</v>
          </cell>
          <cell r="AA197">
            <v>237165</v>
          </cell>
        </row>
        <row r="198">
          <cell r="C198">
            <v>4005</v>
          </cell>
          <cell r="D198" t="str">
            <v>Oasis Academy Don Valley - Sec</v>
          </cell>
          <cell r="E198">
            <v>579.5</v>
          </cell>
          <cell r="F198">
            <v>647</v>
          </cell>
          <cell r="G198">
            <v>67.5</v>
          </cell>
          <cell r="I198">
            <v>3756662.5050767553</v>
          </cell>
          <cell r="J198">
            <v>6482.5927611333136</v>
          </cell>
          <cell r="K198">
            <v>110208.97596088595</v>
          </cell>
          <cell r="L198">
            <v>190.17942357357367</v>
          </cell>
          <cell r="M198">
            <v>3866871.4810376414</v>
          </cell>
          <cell r="N198">
            <v>5976.6174359159841</v>
          </cell>
          <cell r="O198">
            <v>4548439.778809607</v>
          </cell>
          <cell r="P198">
            <v>172036.99999999994</v>
          </cell>
          <cell r="Q198">
            <v>4720476.778809607</v>
          </cell>
          <cell r="R198">
            <v>7030.0460259808451</v>
          </cell>
          <cell r="S198">
            <v>1053.4285900648611</v>
          </cell>
          <cell r="T198">
            <v>0.17599999999999999</v>
          </cell>
          <cell r="U198">
            <v>681568.29777196562</v>
          </cell>
          <cell r="V198">
            <v>7295.9455623023296</v>
          </cell>
          <cell r="W198">
            <v>1319.3281263863455</v>
          </cell>
          <cell r="X198">
            <v>0.22074829793487419</v>
          </cell>
          <cell r="Y198">
            <v>853605.29777196562</v>
          </cell>
          <cell r="Z198">
            <v>265950</v>
          </cell>
          <cell r="AA198">
            <v>279450</v>
          </cell>
        </row>
        <row r="199">
          <cell r="E199">
            <v>997.75</v>
          </cell>
          <cell r="F199">
            <v>1061</v>
          </cell>
          <cell r="G199">
            <v>63.25</v>
          </cell>
          <cell r="I199">
            <v>5681222.4029679932</v>
          </cell>
          <cell r="J199">
            <v>5694.0339794216916</v>
          </cell>
          <cell r="K199">
            <v>180729.09349999999</v>
          </cell>
          <cell r="L199">
            <v>181.13665096467051</v>
          </cell>
          <cell r="M199">
            <v>5861951.4964679936</v>
          </cell>
          <cell r="N199">
            <v>5524.930722401502</v>
          </cell>
          <cell r="O199">
            <v>6558089.9769353848</v>
          </cell>
          <cell r="P199">
            <v>241237.99999999991</v>
          </cell>
          <cell r="Q199">
            <v>6799327.9769353848</v>
          </cell>
          <cell r="R199">
            <v>6181.0461611078081</v>
          </cell>
          <cell r="S199">
            <v>656.11543870630612</v>
          </cell>
          <cell r="T199">
            <v>0.11899999999999999</v>
          </cell>
          <cell r="U199">
            <v>696138.4804673912</v>
          </cell>
          <cell r="V199">
            <v>6408.4146813717107</v>
          </cell>
          <cell r="W199">
            <v>883.48395897020873</v>
          </cell>
          <cell r="X199">
            <v>0.15990860399172352</v>
          </cell>
          <cell r="Y199">
            <v>937376.4804673912</v>
          </cell>
          <cell r="Z199">
            <v>491705</v>
          </cell>
          <cell r="AA199">
            <v>516615</v>
          </cell>
        </row>
        <row r="201">
          <cell r="D201" t="str">
            <v>TOTAL PRIMARY</v>
          </cell>
          <cell r="E201">
            <v>44108.25</v>
          </cell>
          <cell r="F201">
            <v>44487</v>
          </cell>
          <cell r="G201">
            <v>378.75</v>
          </cell>
          <cell r="I201">
            <v>211547516.81176963</v>
          </cell>
          <cell r="J201">
            <v>4796.0986167388101</v>
          </cell>
          <cell r="K201">
            <v>6092987.5067277309</v>
          </cell>
          <cell r="L201">
            <v>138.13714002998827</v>
          </cell>
          <cell r="M201">
            <v>217640504.31849742</v>
          </cell>
          <cell r="N201">
            <v>4892.2270397756065</v>
          </cell>
          <cell r="O201">
            <v>222736741.87044632</v>
          </cell>
          <cell r="P201">
            <v>7477495</v>
          </cell>
          <cell r="Q201">
            <v>230214236.87044632</v>
          </cell>
          <cell r="R201">
            <v>5006.78269765204</v>
          </cell>
          <cell r="S201">
            <v>114.55565787643354</v>
          </cell>
          <cell r="T201">
            <v>2.3E-2</v>
          </cell>
          <cell r="U201">
            <v>5096237.551948905</v>
          </cell>
          <cell r="V201">
            <v>5174.8653959684025</v>
          </cell>
          <cell r="W201">
            <v>282.63835619279598</v>
          </cell>
          <cell r="X201">
            <v>5.7772943466205089E-2</v>
          </cell>
          <cell r="Y201">
            <v>12573732.551948905</v>
          </cell>
          <cell r="Z201">
            <v>21295900</v>
          </cell>
          <cell r="AA201">
            <v>22371387.5</v>
          </cell>
        </row>
        <row r="203">
          <cell r="D203" t="str">
            <v>TOTAL SECONDARY</v>
          </cell>
          <cell r="E203">
            <v>29701</v>
          </cell>
          <cell r="F203">
            <v>30245</v>
          </cell>
          <cell r="G203">
            <v>544</v>
          </cell>
          <cell r="I203">
            <v>184328909.18822828</v>
          </cell>
          <cell r="J203">
            <v>6206.1516173943055</v>
          </cell>
          <cell r="K203">
            <v>5624957.0342722693</v>
          </cell>
          <cell r="L203">
            <v>189.38611609953435</v>
          </cell>
          <cell r="M203">
            <v>189953866.2225005</v>
          </cell>
          <cell r="N203">
            <v>6280.5047519424861</v>
          </cell>
          <cell r="O203">
            <v>202718809.12955365</v>
          </cell>
          <cell r="P203">
            <v>7095389</v>
          </cell>
          <cell r="Q203">
            <v>209814198.12955365</v>
          </cell>
          <cell r="R203">
            <v>6702.5560961994925</v>
          </cell>
          <cell r="S203">
            <v>422.05134425700635</v>
          </cell>
          <cell r="T203">
            <v>6.7000000000000004E-2</v>
          </cell>
          <cell r="U203">
            <v>12764942.907053143</v>
          </cell>
          <cell r="V203">
            <v>6937.1531866276619</v>
          </cell>
          <cell r="W203">
            <v>656.64843468517574</v>
          </cell>
          <cell r="X203">
            <v>0.10455344922429716</v>
          </cell>
          <cell r="Y203">
            <v>19860331.907053143</v>
          </cell>
          <cell r="Z203">
            <v>10320595</v>
          </cell>
          <cell r="AA203">
            <v>10844017.5</v>
          </cell>
        </row>
        <row r="205">
          <cell r="D205" t="str">
            <v>TOTAL PRIMARY/SECONDARY</v>
          </cell>
          <cell r="E205">
            <v>73809.25</v>
          </cell>
          <cell r="F205">
            <v>74732</v>
          </cell>
          <cell r="G205">
            <v>922.75</v>
          </cell>
          <cell r="I205">
            <v>395876425.99999791</v>
          </cell>
          <cell r="J205">
            <v>5363.5069588161095</v>
          </cell>
          <cell r="K205">
            <v>11717944.541000001</v>
          </cell>
          <cell r="L205">
            <v>158.75983756778453</v>
          </cell>
          <cell r="M205">
            <v>407594370.54099792</v>
          </cell>
          <cell r="N205">
            <v>5454.0808561392432</v>
          </cell>
          <cell r="O205">
            <v>425455551</v>
          </cell>
          <cell r="P205">
            <v>14572884</v>
          </cell>
          <cell r="Q205">
            <v>440028435</v>
          </cell>
          <cell r="R205">
            <v>5693.0839667077025</v>
          </cell>
          <cell r="S205">
            <v>239.00311056845931</v>
          </cell>
          <cell r="T205">
            <v>4.3999999999999997E-2</v>
          </cell>
          <cell r="U205">
            <v>17861180.459002078</v>
          </cell>
          <cell r="V205">
            <v>5888.0858935931064</v>
          </cell>
          <cell r="W205">
            <v>434.00503745386322</v>
          </cell>
          <cell r="X205">
            <v>7.957436805604684E-2</v>
          </cell>
          <cell r="Y205">
            <v>32434064.459002078</v>
          </cell>
          <cell r="Z205">
            <v>31616495</v>
          </cell>
          <cell r="AA205">
            <v>33215405</v>
          </cell>
        </row>
        <row r="206">
          <cell r="U206">
            <v>0</v>
          </cell>
        </row>
        <row r="208">
          <cell r="O208" t="str">
            <v>Primary</v>
          </cell>
          <cell r="R208" t="str">
            <v>Gainers</v>
          </cell>
          <cell r="S208">
            <v>122</v>
          </cell>
          <cell r="T208">
            <v>121</v>
          </cell>
          <cell r="U208">
            <v>99</v>
          </cell>
        </row>
        <row r="209">
          <cell r="R209" t="str">
            <v>Same</v>
          </cell>
          <cell r="S209">
            <v>0</v>
          </cell>
          <cell r="T209">
            <v>3</v>
          </cell>
          <cell r="U209">
            <v>0</v>
          </cell>
        </row>
        <row r="210">
          <cell r="R210" t="str">
            <v>Losers</v>
          </cell>
          <cell r="S210">
            <v>11</v>
          </cell>
          <cell r="T210">
            <v>9</v>
          </cell>
          <cell r="U210">
            <v>34</v>
          </cell>
        </row>
        <row r="212">
          <cell r="O212" t="str">
            <v>Secondary</v>
          </cell>
          <cell r="R212" t="str">
            <v>Gainers</v>
          </cell>
          <cell r="S212">
            <v>30</v>
          </cell>
          <cell r="T212">
            <v>30</v>
          </cell>
          <cell r="U212">
            <v>30</v>
          </cell>
        </row>
        <row r="213">
          <cell r="R213" t="str">
            <v>Same</v>
          </cell>
          <cell r="S213">
            <v>0</v>
          </cell>
          <cell r="T213">
            <v>0</v>
          </cell>
          <cell r="U213">
            <v>0</v>
          </cell>
        </row>
        <row r="214">
          <cell r="R214" t="str">
            <v>Losers</v>
          </cell>
          <cell r="S214">
            <v>0</v>
          </cell>
          <cell r="T214">
            <v>0</v>
          </cell>
          <cell r="U214">
            <v>0</v>
          </cell>
        </row>
        <row r="216">
          <cell r="O216" t="str">
            <v>All</v>
          </cell>
          <cell r="T216">
            <v>0</v>
          </cell>
        </row>
        <row r="219">
          <cell r="O219" t="str">
            <v>Standard Dev</v>
          </cell>
          <cell r="R219" t="str">
            <v>Pri</v>
          </cell>
          <cell r="S219">
            <v>64.466071700440764</v>
          </cell>
          <cell r="T219">
            <v>1.180876426982295E-2</v>
          </cell>
          <cell r="U219">
            <v>61726.955962100437</v>
          </cell>
        </row>
        <row r="220">
          <cell r="R220" t="str">
            <v>Sec</v>
          </cell>
          <cell r="S220">
            <v>217.12086396971682</v>
          </cell>
          <cell r="T220">
            <v>3.3660411960243927E-2</v>
          </cell>
          <cell r="U220">
            <v>245114.26518116816</v>
          </cell>
        </row>
        <row r="222">
          <cell r="O222" t="str">
            <v>Mean</v>
          </cell>
          <cell r="R222" t="str">
            <v>Pri</v>
          </cell>
          <cell r="S222" t="e">
            <v>#NUM!</v>
          </cell>
          <cell r="T222" t="e">
            <v>#NUM!</v>
          </cell>
          <cell r="U222" t="e">
            <v>#NUM!</v>
          </cell>
        </row>
        <row r="223">
          <cell r="R223" t="str">
            <v>Sec</v>
          </cell>
          <cell r="S223">
            <v>257.7195993633207</v>
          </cell>
          <cell r="T223">
            <v>4.0392993251013219E-2</v>
          </cell>
          <cell r="U223">
            <v>307454.56745558005</v>
          </cell>
        </row>
        <row r="225">
          <cell r="O225" t="str">
            <v>Median</v>
          </cell>
          <cell r="R225" t="str">
            <v>Pri</v>
          </cell>
          <cell r="S225">
            <v>50.733857113658814</v>
          </cell>
          <cell r="T225">
            <v>0.01</v>
          </cell>
          <cell r="U225">
            <v>29690</v>
          </cell>
        </row>
        <row r="226">
          <cell r="R226" t="str">
            <v>Sec</v>
          </cell>
          <cell r="S226">
            <v>300.41424709986768</v>
          </cell>
          <cell r="T226">
            <v>4.7E-2</v>
          </cell>
          <cell r="U226">
            <v>425068.0730183823</v>
          </cell>
        </row>
        <row r="228">
          <cell r="O228" t="str">
            <v>MIN</v>
          </cell>
          <cell r="R228" t="str">
            <v>Pri</v>
          </cell>
          <cell r="S228">
            <v>-92.987335634496958</v>
          </cell>
          <cell r="T228">
            <v>-1.6E-2</v>
          </cell>
          <cell r="U228">
            <v>-137373.53755131224</v>
          </cell>
        </row>
        <row r="229">
          <cell r="R229" t="str">
            <v>Sec</v>
          </cell>
          <cell r="S229">
            <v>31.171962810877631</v>
          </cell>
          <cell r="T229">
            <v>5.0000000000000001E-3</v>
          </cell>
          <cell r="U229">
            <v>43216.001374568557</v>
          </cell>
        </row>
        <row r="230">
          <cell r="O230" t="str">
            <v>MAX</v>
          </cell>
          <cell r="R230" t="str">
            <v>Pri</v>
          </cell>
          <cell r="S230">
            <v>301.9958497013431</v>
          </cell>
          <cell r="T230">
            <v>5.0999999999999997E-2</v>
          </cell>
          <cell r="U230">
            <v>271130.87848219438</v>
          </cell>
        </row>
        <row r="231">
          <cell r="R231" t="str">
            <v>Sec</v>
          </cell>
          <cell r="S231">
            <v>660.83890384291772</v>
          </cell>
          <cell r="T231">
            <v>8.8999999999999996E-2</v>
          </cell>
          <cell r="U231">
            <v>967466.0774989184</v>
          </cell>
        </row>
      </sheetData>
      <sheetData sheetId="41"/>
      <sheetData sheetId="42"/>
      <sheetData sheetId="43">
        <row r="5">
          <cell r="E5">
            <v>3462.8685792877927</v>
          </cell>
        </row>
        <row r="6">
          <cell r="E6">
            <v>4785</v>
          </cell>
        </row>
        <row r="7">
          <cell r="E7">
            <v>5393</v>
          </cell>
        </row>
        <row r="8">
          <cell r="E8">
            <v>393.59999999999997</v>
          </cell>
        </row>
        <row r="9">
          <cell r="E9">
            <v>475.2</v>
          </cell>
        </row>
        <row r="10">
          <cell r="E10">
            <v>602.92999999999995</v>
          </cell>
        </row>
        <row r="11">
          <cell r="E11">
            <v>808.55000000000007</v>
          </cell>
        </row>
        <row r="12">
          <cell r="E12">
            <v>210.32779559944768</v>
          </cell>
        </row>
        <row r="13">
          <cell r="E13">
            <v>256.05122942541453</v>
          </cell>
        </row>
        <row r="14">
          <cell r="E14">
            <v>402.36621766850863</v>
          </cell>
        </row>
        <row r="15">
          <cell r="E15">
            <v>438.94496472928211</v>
          </cell>
        </row>
        <row r="16">
          <cell r="E16">
            <v>466.37902502486224</v>
          </cell>
        </row>
        <row r="17">
          <cell r="E17">
            <v>612.69401326795628</v>
          </cell>
        </row>
        <row r="18">
          <cell r="E18">
            <v>281.75716514780794</v>
          </cell>
        </row>
        <row r="19">
          <cell r="E19">
            <v>374.27444325604341</v>
          </cell>
        </row>
        <row r="20">
          <cell r="E20">
            <v>521.46102206459977</v>
          </cell>
        </row>
        <row r="21">
          <cell r="E21">
            <v>571.92499194181914</v>
          </cell>
        </row>
        <row r="22">
          <cell r="E22">
            <v>613.97830017283525</v>
          </cell>
        </row>
        <row r="23">
          <cell r="E23">
            <v>782.19153309689966</v>
          </cell>
        </row>
        <row r="24">
          <cell r="E24">
            <v>945</v>
          </cell>
        </row>
        <row r="25">
          <cell r="E25">
            <v>1360</v>
          </cell>
        </row>
        <row r="27">
          <cell r="E27">
            <v>1155</v>
          </cell>
        </row>
        <row r="28">
          <cell r="E28">
            <v>1750</v>
          </cell>
        </row>
        <row r="29">
          <cell r="E29">
            <v>580</v>
          </cell>
        </row>
        <row r="30">
          <cell r="E30">
            <v>1565</v>
          </cell>
        </row>
      </sheetData>
      <sheetData sheetId="44"/>
      <sheetData sheetId="4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nal Summary 22-23"/>
      <sheetName val="ISB 22-23"/>
    </sheetNames>
    <sheetDataSet>
      <sheetData sheetId="0">
        <row r="1">
          <cell r="D1" t="str">
            <v>Rates 2022-23 Final Figures @ 31st January 2023</v>
          </cell>
          <cell r="U1" t="str">
            <v>Bal fig for APT</v>
          </cell>
          <cell r="V1">
            <v>-2.2106766700744629E-3</v>
          </cell>
        </row>
        <row r="2">
          <cell r="T2" t="str">
            <v>DSG Related adjustments</v>
          </cell>
        </row>
        <row r="3">
          <cell r="D3" t="str">
            <v>DfE</v>
          </cell>
          <cell r="E3" t="str">
            <v>School</v>
          </cell>
          <cell r="F3" t="str">
            <v>UKPRN</v>
          </cell>
          <cell r="G3" t="str">
            <v>Prev NNDR Account</v>
          </cell>
          <cell r="H3" t="str">
            <v>NNDR Account</v>
          </cell>
          <cell r="I3" t="str">
            <v>NNDR Account 2</v>
          </cell>
          <cell r="J3" t="str">
            <v>Split Site %</v>
          </cell>
          <cell r="K3" t="str">
            <v>SF Rates22-23</v>
          </cell>
          <cell r="L3" t="str">
            <v>Final Rates Figures 2022-23</v>
          </cell>
          <cell r="M3" t="str">
            <v>Var</v>
          </cell>
          <cell r="N3" t="str">
            <v>SF Rates 23-24 v2</v>
          </cell>
          <cell r="O3" t="str">
            <v>Var</v>
          </cell>
          <cell r="P3" t="str">
            <v>% Var</v>
          </cell>
          <cell r="R3" t="str">
            <v>23-24 NNDR Acc</v>
          </cell>
          <cell r="S3" t="str">
            <v>check</v>
          </cell>
          <cell r="T3" t="str">
            <v>Submitted Baseline Rates in 22-23 for APT MFG</v>
          </cell>
          <cell r="U3" t="str">
            <v>Adjustment for APT Local Factors Col Y</v>
          </cell>
          <cell r="X3" t="str">
            <v>Adjustments still to be funded for 21-22 Rates</v>
          </cell>
          <cell r="Z3" t="str">
            <v>ISB Rates 22-23 (Inc. 21-22 adj)</v>
          </cell>
          <cell r="AB3" t="str">
            <v>Var</v>
          </cell>
        </row>
        <row r="5">
          <cell r="D5">
            <v>2001</v>
          </cell>
          <cell r="E5" t="str">
            <v>Abbey Lane Primary School</v>
          </cell>
          <cell r="F5">
            <v>10072602</v>
          </cell>
          <cell r="H5">
            <v>1152713</v>
          </cell>
          <cell r="J5">
            <v>1</v>
          </cell>
          <cell r="K5">
            <v>39936</v>
          </cell>
          <cell r="L5">
            <v>39936</v>
          </cell>
          <cell r="M5">
            <v>0</v>
          </cell>
          <cell r="N5">
            <v>52067.6</v>
          </cell>
          <cell r="O5">
            <v>12131.599999999999</v>
          </cell>
          <cell r="P5">
            <v>0.30377604166666661</v>
          </cell>
          <cell r="R5">
            <v>1152713</v>
          </cell>
          <cell r="S5">
            <v>0</v>
          </cell>
          <cell r="T5">
            <v>40716</v>
          </cell>
          <cell r="U5">
            <v>11352.55</v>
          </cell>
          <cell r="X5">
            <v>0</v>
          </cell>
          <cell r="Z5">
            <v>40716</v>
          </cell>
          <cell r="AB5">
            <v>-780</v>
          </cell>
        </row>
        <row r="6">
          <cell r="D6">
            <v>2046</v>
          </cell>
          <cell r="E6" t="str">
            <v>Abbeyfield Primary Academy</v>
          </cell>
          <cell r="F6">
            <v>10057464</v>
          </cell>
          <cell r="H6">
            <v>2151784</v>
          </cell>
          <cell r="J6">
            <v>1</v>
          </cell>
          <cell r="K6">
            <v>6707.2000000000007</v>
          </cell>
          <cell r="L6">
            <v>6707.2000000000007</v>
          </cell>
          <cell r="M6">
            <v>0</v>
          </cell>
          <cell r="N6">
            <v>6195.2</v>
          </cell>
          <cell r="O6">
            <v>-512.00000000000091</v>
          </cell>
          <cell r="P6">
            <v>-7.6335877862595547E-2</v>
          </cell>
          <cell r="R6">
            <v>2151784</v>
          </cell>
          <cell r="S6">
            <v>0</v>
          </cell>
          <cell r="T6">
            <v>6707</v>
          </cell>
          <cell r="U6">
            <v>-511.80000000000018</v>
          </cell>
          <cell r="X6">
            <v>-131</v>
          </cell>
          <cell r="Z6">
            <v>6707</v>
          </cell>
          <cell r="AB6">
            <v>0.2000000000007276</v>
          </cell>
        </row>
        <row r="7">
          <cell r="D7">
            <v>2048</v>
          </cell>
          <cell r="E7" t="str">
            <v>Acres Hill Community Primary School</v>
          </cell>
          <cell r="F7">
            <v>10061423</v>
          </cell>
          <cell r="H7">
            <v>2173110</v>
          </cell>
          <cell r="J7">
            <v>1</v>
          </cell>
          <cell r="K7">
            <v>4966.3999999999996</v>
          </cell>
          <cell r="L7">
            <v>4966.3999999999996</v>
          </cell>
          <cell r="M7">
            <v>0</v>
          </cell>
          <cell r="N7">
            <v>4582.3999999999996</v>
          </cell>
          <cell r="O7">
            <v>-384</v>
          </cell>
          <cell r="P7">
            <v>-7.7319587628865982E-2</v>
          </cell>
          <cell r="R7">
            <v>2173110</v>
          </cell>
          <cell r="S7">
            <v>0</v>
          </cell>
          <cell r="T7">
            <v>4966</v>
          </cell>
          <cell r="U7">
            <v>-383.60000000000036</v>
          </cell>
          <cell r="X7">
            <v>126</v>
          </cell>
          <cell r="Z7">
            <v>4966</v>
          </cell>
          <cell r="AB7">
            <v>0.3999999999996362</v>
          </cell>
        </row>
        <row r="8">
          <cell r="D8">
            <v>2342</v>
          </cell>
          <cell r="E8" t="str">
            <v>Angram Bank Primary School</v>
          </cell>
          <cell r="F8">
            <v>10068774</v>
          </cell>
          <cell r="H8">
            <v>1152770</v>
          </cell>
          <cell r="J8">
            <v>1</v>
          </cell>
          <cell r="K8">
            <v>23203.5</v>
          </cell>
          <cell r="L8">
            <v>23203.5</v>
          </cell>
          <cell r="M8">
            <v>0</v>
          </cell>
          <cell r="N8">
            <v>19200</v>
          </cell>
          <cell r="O8">
            <v>-4003.5</v>
          </cell>
          <cell r="P8">
            <v>-0.17253862563837352</v>
          </cell>
          <cell r="R8">
            <v>1152770</v>
          </cell>
          <cell r="S8">
            <v>0</v>
          </cell>
          <cell r="T8">
            <v>23204</v>
          </cell>
          <cell r="U8">
            <v>-4004</v>
          </cell>
          <cell r="X8">
            <v>0</v>
          </cell>
          <cell r="Z8">
            <v>23204</v>
          </cell>
          <cell r="AB8">
            <v>-0.5</v>
          </cell>
        </row>
        <row r="9">
          <cell r="D9">
            <v>2343</v>
          </cell>
          <cell r="E9" t="str">
            <v>Anns Grove Primary School</v>
          </cell>
          <cell r="F9">
            <v>10075677</v>
          </cell>
          <cell r="H9">
            <v>1610436</v>
          </cell>
          <cell r="J9">
            <v>1</v>
          </cell>
          <cell r="K9">
            <v>40704</v>
          </cell>
          <cell r="L9">
            <v>40704</v>
          </cell>
          <cell r="M9">
            <v>0</v>
          </cell>
          <cell r="N9">
            <v>46862.58</v>
          </cell>
          <cell r="O9">
            <v>6158.5800000000017</v>
          </cell>
          <cell r="P9">
            <v>0.15130159198113211</v>
          </cell>
          <cell r="R9">
            <v>1610436</v>
          </cell>
          <cell r="S9">
            <v>0</v>
          </cell>
          <cell r="T9">
            <v>41499</v>
          </cell>
          <cell r="U9">
            <v>5363.5800000000017</v>
          </cell>
          <cell r="X9">
            <v>0</v>
          </cell>
          <cell r="Z9">
            <v>41499</v>
          </cell>
          <cell r="AB9">
            <v>-795</v>
          </cell>
        </row>
        <row r="10">
          <cell r="D10">
            <v>3429</v>
          </cell>
          <cell r="E10" t="str">
            <v>Arbourthorne Community Primary School</v>
          </cell>
          <cell r="F10">
            <v>10076658</v>
          </cell>
          <cell r="H10">
            <v>1152795</v>
          </cell>
          <cell r="J10">
            <v>1</v>
          </cell>
          <cell r="K10">
            <v>52736</v>
          </cell>
          <cell r="L10">
            <v>52736</v>
          </cell>
          <cell r="M10">
            <v>0</v>
          </cell>
          <cell r="N10">
            <v>60928</v>
          </cell>
          <cell r="O10">
            <v>8192</v>
          </cell>
          <cell r="P10">
            <v>0.1553398058252427</v>
          </cell>
          <cell r="R10">
            <v>1152795</v>
          </cell>
          <cell r="S10">
            <v>0</v>
          </cell>
          <cell r="T10">
            <v>53766</v>
          </cell>
          <cell r="U10">
            <v>7162</v>
          </cell>
          <cell r="X10">
            <v>0</v>
          </cell>
          <cell r="Z10">
            <v>53766</v>
          </cell>
          <cell r="AB10">
            <v>-1030</v>
          </cell>
        </row>
        <row r="11">
          <cell r="D11">
            <v>2340</v>
          </cell>
          <cell r="E11" t="str">
            <v>Athelstan Primary School</v>
          </cell>
          <cell r="F11">
            <v>10073044</v>
          </cell>
          <cell r="H11">
            <v>1152810</v>
          </cell>
          <cell r="J11">
            <v>1</v>
          </cell>
          <cell r="K11">
            <v>32768</v>
          </cell>
          <cell r="L11">
            <v>32768</v>
          </cell>
          <cell r="M11">
            <v>0</v>
          </cell>
          <cell r="N11">
            <v>37896.400000000001</v>
          </cell>
          <cell r="O11">
            <v>5128.4000000000015</v>
          </cell>
          <cell r="P11">
            <v>0.15650634765625004</v>
          </cell>
          <cell r="R11">
            <v>1152810</v>
          </cell>
          <cell r="S11">
            <v>0</v>
          </cell>
          <cell r="T11">
            <v>33408</v>
          </cell>
          <cell r="U11">
            <v>4488.4000000000015</v>
          </cell>
          <cell r="X11">
            <v>0</v>
          </cell>
          <cell r="Z11">
            <v>33408</v>
          </cell>
          <cell r="AB11">
            <v>-640</v>
          </cell>
        </row>
        <row r="12">
          <cell r="D12">
            <v>2281</v>
          </cell>
          <cell r="E12" t="str">
            <v>Ballifield Primary School</v>
          </cell>
          <cell r="F12">
            <v>10073047</v>
          </cell>
          <cell r="H12">
            <v>1152827</v>
          </cell>
          <cell r="J12">
            <v>1</v>
          </cell>
          <cell r="K12">
            <v>27904</v>
          </cell>
          <cell r="L12">
            <v>27904</v>
          </cell>
          <cell r="M12">
            <v>0</v>
          </cell>
          <cell r="N12">
            <v>28672</v>
          </cell>
          <cell r="O12">
            <v>768</v>
          </cell>
          <cell r="P12">
            <v>2.7522935779816515E-2</v>
          </cell>
          <cell r="R12">
            <v>1152827</v>
          </cell>
          <cell r="S12">
            <v>0</v>
          </cell>
          <cell r="T12">
            <v>28449</v>
          </cell>
          <cell r="U12">
            <v>223</v>
          </cell>
          <cell r="X12">
            <v>0</v>
          </cell>
          <cell r="Z12">
            <v>28449</v>
          </cell>
          <cell r="AB12">
            <v>-545</v>
          </cell>
        </row>
        <row r="13">
          <cell r="D13">
            <v>2322</v>
          </cell>
          <cell r="E13" t="str">
            <v>Bankwood Community Primary School</v>
          </cell>
          <cell r="F13">
            <v>10078405</v>
          </cell>
          <cell r="H13">
            <v>1152835</v>
          </cell>
          <cell r="J13">
            <v>1</v>
          </cell>
          <cell r="K13">
            <v>24326.25</v>
          </cell>
          <cell r="L13">
            <v>24326.25</v>
          </cell>
          <cell r="M13">
            <v>0</v>
          </cell>
          <cell r="N13">
            <v>28774.69</v>
          </cell>
          <cell r="O13">
            <v>4448.4399999999987</v>
          </cell>
          <cell r="P13">
            <v>0.18286583423256764</v>
          </cell>
          <cell r="R13">
            <v>1152835</v>
          </cell>
          <cell r="S13">
            <v>0</v>
          </cell>
          <cell r="T13">
            <v>24326</v>
          </cell>
          <cell r="U13">
            <v>4448.6899999999987</v>
          </cell>
          <cell r="X13">
            <v>0</v>
          </cell>
          <cell r="Z13">
            <v>24326</v>
          </cell>
          <cell r="AB13">
            <v>0.25</v>
          </cell>
        </row>
        <row r="14">
          <cell r="D14">
            <v>2274</v>
          </cell>
          <cell r="E14" t="str">
            <v>Beck Primary School</v>
          </cell>
          <cell r="F14">
            <v>10055190</v>
          </cell>
          <cell r="H14">
            <v>2127232</v>
          </cell>
          <cell r="J14">
            <v>1</v>
          </cell>
          <cell r="K14">
            <v>9267.2000000000007</v>
          </cell>
          <cell r="L14">
            <v>9267.2000000000007</v>
          </cell>
          <cell r="M14">
            <v>0</v>
          </cell>
          <cell r="N14">
            <v>12083.199999999999</v>
          </cell>
          <cell r="O14">
            <v>2815.9999999999982</v>
          </cell>
          <cell r="P14">
            <v>0.30386740331491691</v>
          </cell>
          <cell r="R14">
            <v>2127232</v>
          </cell>
          <cell r="S14">
            <v>0</v>
          </cell>
          <cell r="T14">
            <v>9267</v>
          </cell>
          <cell r="U14">
            <v>2816.1999999999989</v>
          </cell>
          <cell r="X14">
            <v>654</v>
          </cell>
          <cell r="Z14">
            <v>9267</v>
          </cell>
          <cell r="AB14">
            <v>0.2000000000007276</v>
          </cell>
        </row>
        <row r="15">
          <cell r="D15">
            <v>2241</v>
          </cell>
          <cell r="E15" t="str">
            <v>Beighton Nursery Infant School</v>
          </cell>
          <cell r="F15">
            <v>10070910</v>
          </cell>
          <cell r="H15">
            <v>2189296</v>
          </cell>
          <cell r="J15">
            <v>1</v>
          </cell>
          <cell r="K15">
            <v>20833.25</v>
          </cell>
          <cell r="L15">
            <v>20833.25</v>
          </cell>
          <cell r="M15">
            <v>0</v>
          </cell>
          <cell r="N15">
            <v>23958.237499999999</v>
          </cell>
          <cell r="O15">
            <v>3124.9874999999993</v>
          </cell>
          <cell r="P15">
            <v>0.14999999999999997</v>
          </cell>
          <cell r="R15">
            <v>2189296</v>
          </cell>
          <cell r="S15">
            <v>0</v>
          </cell>
          <cell r="T15">
            <v>19835</v>
          </cell>
          <cell r="U15">
            <v>4123.2374999999993</v>
          </cell>
          <cell r="X15">
            <v>0</v>
          </cell>
          <cell r="Z15">
            <v>19835</v>
          </cell>
          <cell r="AB15">
            <v>998.25</v>
          </cell>
        </row>
        <row r="16">
          <cell r="D16">
            <v>2353</v>
          </cell>
          <cell r="E16" t="str">
            <v>Birley Primary Academy</v>
          </cell>
          <cell r="F16">
            <v>10062513</v>
          </cell>
          <cell r="H16">
            <v>2175955</v>
          </cell>
          <cell r="J16">
            <v>0.1562940822367215</v>
          </cell>
          <cell r="K16">
            <v>6881.9410290473215</v>
          </cell>
          <cell r="L16">
            <v>6881.9410290473215</v>
          </cell>
          <cell r="M16">
            <v>0</v>
          </cell>
          <cell r="N16">
            <v>5241.4783418906927</v>
          </cell>
          <cell r="O16">
            <v>-1640.4626871566288</v>
          </cell>
          <cell r="P16">
            <v>-0.23837209302325579</v>
          </cell>
          <cell r="R16">
            <v>2175955</v>
          </cell>
          <cell r="S16">
            <v>0</v>
          </cell>
          <cell r="T16">
            <v>6882</v>
          </cell>
          <cell r="U16">
            <v>-1640.5216581093073</v>
          </cell>
          <cell r="X16">
            <v>-134</v>
          </cell>
          <cell r="Z16">
            <v>6882</v>
          </cell>
          <cell r="AB16">
            <v>-5.8970952678464528E-2</v>
          </cell>
        </row>
        <row r="17">
          <cell r="D17">
            <v>2323</v>
          </cell>
          <cell r="E17" t="str">
            <v>Birley Spa Primary Academy</v>
          </cell>
          <cell r="F17">
            <v>10062514</v>
          </cell>
          <cell r="H17">
            <v>2175988</v>
          </cell>
          <cell r="J17">
            <v>1</v>
          </cell>
          <cell r="K17">
            <v>9164.7999999999993</v>
          </cell>
          <cell r="L17">
            <v>9164.7999999999993</v>
          </cell>
          <cell r="M17">
            <v>0</v>
          </cell>
          <cell r="N17">
            <v>10188.799999999999</v>
          </cell>
          <cell r="O17">
            <v>1024</v>
          </cell>
          <cell r="P17">
            <v>0.111731843575419</v>
          </cell>
          <cell r="R17">
            <v>2175988</v>
          </cell>
          <cell r="S17">
            <v>0</v>
          </cell>
          <cell r="T17">
            <v>9165</v>
          </cell>
          <cell r="U17">
            <v>1023.7999999999993</v>
          </cell>
          <cell r="X17">
            <v>-179</v>
          </cell>
          <cell r="Z17">
            <v>9165</v>
          </cell>
          <cell r="AB17">
            <v>-0.2000000000007276</v>
          </cell>
        </row>
        <row r="18">
          <cell r="D18">
            <v>2328</v>
          </cell>
          <cell r="E18" t="str">
            <v>Bradfield Dungworth Primary School</v>
          </cell>
          <cell r="F18">
            <v>10083188</v>
          </cell>
          <cell r="H18">
            <v>2304858</v>
          </cell>
          <cell r="J18">
            <v>1</v>
          </cell>
          <cell r="K18">
            <v>2816</v>
          </cell>
          <cell r="L18">
            <v>3072</v>
          </cell>
          <cell r="M18">
            <v>256</v>
          </cell>
          <cell r="N18">
            <v>3534.75</v>
          </cell>
          <cell r="O18">
            <v>462.75</v>
          </cell>
          <cell r="P18">
            <v>0.150634765625</v>
          </cell>
          <cell r="R18">
            <v>2304858</v>
          </cell>
          <cell r="S18">
            <v>0</v>
          </cell>
          <cell r="T18">
            <v>2816</v>
          </cell>
          <cell r="U18">
            <v>718.75</v>
          </cell>
          <cell r="X18">
            <v>-178</v>
          </cell>
          <cell r="Z18">
            <v>2816</v>
          </cell>
          <cell r="AB18">
            <v>256</v>
          </cell>
        </row>
        <row r="19">
          <cell r="D19">
            <v>2233</v>
          </cell>
          <cell r="E19" t="str">
            <v>Bradway Primary School</v>
          </cell>
          <cell r="F19">
            <v>10078406</v>
          </cell>
          <cell r="H19">
            <v>1154203</v>
          </cell>
          <cell r="J19">
            <v>1</v>
          </cell>
          <cell r="K19">
            <v>24950</v>
          </cell>
          <cell r="L19">
            <v>24950</v>
          </cell>
          <cell r="M19">
            <v>0</v>
          </cell>
          <cell r="N19">
            <v>26880</v>
          </cell>
          <cell r="O19">
            <v>1930</v>
          </cell>
          <cell r="P19">
            <v>7.735470941883768E-2</v>
          </cell>
          <cell r="R19">
            <v>1154203</v>
          </cell>
          <cell r="S19">
            <v>0</v>
          </cell>
          <cell r="T19">
            <v>24950</v>
          </cell>
          <cell r="U19">
            <v>1930</v>
          </cell>
          <cell r="X19">
            <v>0</v>
          </cell>
          <cell r="Z19">
            <v>24950</v>
          </cell>
          <cell r="AB19">
            <v>0</v>
          </cell>
        </row>
        <row r="20">
          <cell r="D20">
            <v>2014</v>
          </cell>
          <cell r="E20" t="str">
            <v>Brightside Nursery and Infant School</v>
          </cell>
          <cell r="F20">
            <v>10070916</v>
          </cell>
          <cell r="H20">
            <v>1152940</v>
          </cell>
          <cell r="J20">
            <v>1</v>
          </cell>
          <cell r="K20">
            <v>16841.25</v>
          </cell>
          <cell r="L20">
            <v>16841.25</v>
          </cell>
          <cell r="M20">
            <v>0</v>
          </cell>
          <cell r="N20">
            <v>18688</v>
          </cell>
          <cell r="O20">
            <v>1846.75</v>
          </cell>
          <cell r="P20">
            <v>0.10965634973651006</v>
          </cell>
          <cell r="R20">
            <v>1152940</v>
          </cell>
          <cell r="S20">
            <v>0</v>
          </cell>
          <cell r="T20">
            <v>16841</v>
          </cell>
          <cell r="U20">
            <v>1847</v>
          </cell>
          <cell r="X20">
            <v>0</v>
          </cell>
          <cell r="Z20">
            <v>16841</v>
          </cell>
          <cell r="AB20">
            <v>0.25</v>
          </cell>
        </row>
        <row r="21">
          <cell r="D21">
            <v>2246</v>
          </cell>
          <cell r="E21" t="str">
            <v>Brook House Junior</v>
          </cell>
          <cell r="F21">
            <v>10086798</v>
          </cell>
          <cell r="H21">
            <v>2434433</v>
          </cell>
          <cell r="J21">
            <v>1</v>
          </cell>
          <cell r="K21">
            <v>4684.8</v>
          </cell>
          <cell r="L21">
            <v>4684.8</v>
          </cell>
          <cell r="M21">
            <v>0</v>
          </cell>
          <cell r="N21">
            <v>5411.93</v>
          </cell>
          <cell r="O21">
            <v>727.13000000000011</v>
          </cell>
          <cell r="P21">
            <v>0.15521046789617488</v>
          </cell>
          <cell r="R21">
            <v>2434433</v>
          </cell>
          <cell r="S21">
            <v>0</v>
          </cell>
          <cell r="T21">
            <v>22829</v>
          </cell>
          <cell r="U21">
            <v>846.13000000000011</v>
          </cell>
          <cell r="X21">
            <v>0</v>
          </cell>
          <cell r="Z21">
            <v>22829</v>
          </cell>
          <cell r="AB21">
            <v>-18144.2</v>
          </cell>
        </row>
        <row r="22">
          <cell r="D22">
            <v>5204</v>
          </cell>
          <cell r="E22" t="str">
            <v>Broomhill Infant School</v>
          </cell>
          <cell r="F22">
            <v>10078294</v>
          </cell>
          <cell r="H22">
            <v>1245572</v>
          </cell>
          <cell r="J22">
            <v>1</v>
          </cell>
          <cell r="K22">
            <v>1561.6</v>
          </cell>
          <cell r="L22">
            <v>1561.6</v>
          </cell>
          <cell r="M22">
            <v>0</v>
          </cell>
          <cell r="N22">
            <v>1804.19</v>
          </cell>
          <cell r="O22">
            <v>242.59000000000015</v>
          </cell>
          <cell r="P22">
            <v>0.1553470799180329</v>
          </cell>
          <cell r="R22">
            <v>1245572</v>
          </cell>
          <cell r="S22">
            <v>0</v>
          </cell>
          <cell r="T22">
            <v>1522</v>
          </cell>
          <cell r="U22">
            <v>282.19000000000005</v>
          </cell>
          <cell r="X22">
            <v>0</v>
          </cell>
          <cell r="Z22">
            <v>1522</v>
          </cell>
          <cell r="AB22">
            <v>39.599999999999909</v>
          </cell>
        </row>
        <row r="23">
          <cell r="D23">
            <v>2325</v>
          </cell>
          <cell r="E23" t="str">
            <v>Brunswick Community Primary School</v>
          </cell>
          <cell r="F23">
            <v>10073046</v>
          </cell>
          <cell r="H23">
            <v>1152973</v>
          </cell>
          <cell r="J23">
            <v>1</v>
          </cell>
          <cell r="K23">
            <v>35072</v>
          </cell>
          <cell r="L23">
            <v>35072</v>
          </cell>
          <cell r="M23">
            <v>0</v>
          </cell>
          <cell r="N23">
            <v>34048</v>
          </cell>
          <cell r="O23">
            <v>-1024</v>
          </cell>
          <cell r="P23">
            <v>-2.9197080291970802E-2</v>
          </cell>
          <cell r="R23">
            <v>1152973</v>
          </cell>
          <cell r="S23">
            <v>0</v>
          </cell>
          <cell r="T23">
            <v>35757</v>
          </cell>
          <cell r="U23">
            <v>-1709</v>
          </cell>
          <cell r="X23">
            <v>0</v>
          </cell>
          <cell r="Z23">
            <v>35757</v>
          </cell>
          <cell r="AB23">
            <v>-685</v>
          </cell>
        </row>
        <row r="24">
          <cell r="D24">
            <v>2095</v>
          </cell>
          <cell r="E24" t="str">
            <v>Byron Wood Primary Academy</v>
          </cell>
          <cell r="F24">
            <v>10057460</v>
          </cell>
          <cell r="J24">
            <v>1</v>
          </cell>
          <cell r="K24">
            <v>5468</v>
          </cell>
          <cell r="L24">
            <v>5468</v>
          </cell>
          <cell r="N24">
            <v>6288.2</v>
          </cell>
          <cell r="O24">
            <v>820.19999999999982</v>
          </cell>
          <cell r="P24">
            <v>0.14999999999999997</v>
          </cell>
          <cell r="R24" t="e">
            <v>#N/A</v>
          </cell>
          <cell r="S24" t="e">
            <v>#N/A</v>
          </cell>
          <cell r="T24">
            <v>5846</v>
          </cell>
          <cell r="U24">
            <v>442.19999999999982</v>
          </cell>
          <cell r="X24">
            <v>0</v>
          </cell>
          <cell r="Z24">
            <v>5846</v>
          </cell>
          <cell r="AB24">
            <v>-378</v>
          </cell>
        </row>
        <row r="25">
          <cell r="D25">
            <v>2344</v>
          </cell>
          <cell r="E25" t="str">
            <v>Carfield Primary School</v>
          </cell>
          <cell r="F25">
            <v>10068773</v>
          </cell>
          <cell r="H25">
            <v>1153020</v>
          </cell>
          <cell r="J25">
            <v>1</v>
          </cell>
          <cell r="K25">
            <v>31488</v>
          </cell>
          <cell r="L25">
            <v>31488</v>
          </cell>
          <cell r="M25">
            <v>0</v>
          </cell>
          <cell r="N25">
            <v>36351.279999999999</v>
          </cell>
          <cell r="O25">
            <v>4863.2799999999988</v>
          </cell>
          <cell r="P25">
            <v>0.15444867886178859</v>
          </cell>
          <cell r="R25">
            <v>1153020</v>
          </cell>
          <cell r="S25">
            <v>0</v>
          </cell>
          <cell r="T25">
            <v>32103</v>
          </cell>
          <cell r="U25">
            <v>4248.2799999999988</v>
          </cell>
          <cell r="X25">
            <v>0</v>
          </cell>
          <cell r="Z25">
            <v>32103</v>
          </cell>
          <cell r="AB25">
            <v>-615</v>
          </cell>
        </row>
        <row r="26">
          <cell r="D26">
            <v>2023</v>
          </cell>
          <cell r="E26" t="str">
            <v>Carter Knowle Junior School</v>
          </cell>
          <cell r="F26">
            <v>10071446</v>
          </cell>
          <cell r="H26">
            <v>1153037</v>
          </cell>
          <cell r="J26">
            <v>1</v>
          </cell>
          <cell r="K26">
            <v>16467</v>
          </cell>
          <cell r="L26">
            <v>16467</v>
          </cell>
          <cell r="M26">
            <v>0</v>
          </cell>
          <cell r="N26">
            <v>18937.05</v>
          </cell>
          <cell r="O26">
            <v>2470.0499999999993</v>
          </cell>
          <cell r="P26">
            <v>0.14999999999999997</v>
          </cell>
          <cell r="R26">
            <v>1153037</v>
          </cell>
          <cell r="S26">
            <v>0</v>
          </cell>
          <cell r="T26">
            <v>16467</v>
          </cell>
          <cell r="U26">
            <v>2470.0499999999993</v>
          </cell>
          <cell r="X26">
            <v>0</v>
          </cell>
          <cell r="Z26">
            <v>16467</v>
          </cell>
          <cell r="AB26">
            <v>0</v>
          </cell>
        </row>
        <row r="27">
          <cell r="D27">
            <v>2354</v>
          </cell>
          <cell r="E27" t="str">
            <v>Charnock Hall Primary Academy</v>
          </cell>
          <cell r="F27">
            <v>10062519</v>
          </cell>
          <cell r="H27">
            <v>2175971</v>
          </cell>
          <cell r="J27">
            <v>1</v>
          </cell>
          <cell r="K27">
            <v>4889.5999999999995</v>
          </cell>
          <cell r="L27">
            <v>4889.5999999999995</v>
          </cell>
          <cell r="M27">
            <v>0</v>
          </cell>
          <cell r="N27">
            <v>5632</v>
          </cell>
          <cell r="O27">
            <v>742.40000000000055</v>
          </cell>
          <cell r="P27">
            <v>0.15183246073298443</v>
          </cell>
          <cell r="R27">
            <v>2175971</v>
          </cell>
          <cell r="S27">
            <v>0</v>
          </cell>
          <cell r="T27">
            <v>4890</v>
          </cell>
          <cell r="U27">
            <v>742</v>
          </cell>
          <cell r="X27">
            <v>125</v>
          </cell>
          <cell r="Z27">
            <v>4890</v>
          </cell>
          <cell r="AB27">
            <v>-0.4000000000005457</v>
          </cell>
        </row>
        <row r="28">
          <cell r="D28">
            <v>5200</v>
          </cell>
          <cell r="E28" t="str">
            <v>Clifford All Saints CofE Primary School</v>
          </cell>
          <cell r="F28">
            <v>10078348</v>
          </cell>
          <cell r="H28">
            <v>2289825</v>
          </cell>
          <cell r="I28">
            <v>1850034</v>
          </cell>
          <cell r="J28">
            <v>1</v>
          </cell>
          <cell r="K28">
            <v>5888</v>
          </cell>
          <cell r="L28">
            <v>5888</v>
          </cell>
          <cell r="M28">
            <v>0</v>
          </cell>
          <cell r="N28">
            <v>5435.05</v>
          </cell>
          <cell r="O28">
            <v>-452.94999999999982</v>
          </cell>
          <cell r="P28">
            <v>-7.692764945652171E-2</v>
          </cell>
          <cell r="R28">
            <v>2289825</v>
          </cell>
          <cell r="S28">
            <v>0</v>
          </cell>
          <cell r="T28">
            <v>6163</v>
          </cell>
          <cell r="U28">
            <v>-727.94999999999982</v>
          </cell>
          <cell r="X28">
            <v>0</v>
          </cell>
          <cell r="Z28">
            <v>6163</v>
          </cell>
          <cell r="AB28">
            <v>-275</v>
          </cell>
        </row>
        <row r="29">
          <cell r="D29">
            <v>2312</v>
          </cell>
          <cell r="E29" t="str">
            <v>Coit Primary School</v>
          </cell>
          <cell r="F29">
            <v>10072598</v>
          </cell>
          <cell r="H29">
            <v>1153061</v>
          </cell>
          <cell r="J29">
            <v>1</v>
          </cell>
          <cell r="K29">
            <v>16467</v>
          </cell>
          <cell r="L29">
            <v>16467</v>
          </cell>
          <cell r="M29">
            <v>0</v>
          </cell>
          <cell r="N29">
            <v>17024</v>
          </cell>
          <cell r="O29">
            <v>557</v>
          </cell>
          <cell r="P29">
            <v>3.382522620999575E-2</v>
          </cell>
          <cell r="R29">
            <v>1153061</v>
          </cell>
          <cell r="S29">
            <v>0</v>
          </cell>
          <cell r="T29">
            <v>16467</v>
          </cell>
          <cell r="U29">
            <v>557</v>
          </cell>
          <cell r="X29">
            <v>0</v>
          </cell>
          <cell r="Z29">
            <v>16467</v>
          </cell>
          <cell r="AB29">
            <v>0</v>
          </cell>
        </row>
        <row r="30">
          <cell r="D30">
            <v>2026</v>
          </cell>
          <cell r="E30" t="str">
            <v>Concord Junior School</v>
          </cell>
          <cell r="F30">
            <v>10044934</v>
          </cell>
          <cell r="H30">
            <v>2008195</v>
          </cell>
          <cell r="J30">
            <v>1</v>
          </cell>
          <cell r="K30">
            <v>3660.7999999999997</v>
          </cell>
          <cell r="L30">
            <v>3660.7999999999997</v>
          </cell>
          <cell r="M30">
            <v>0</v>
          </cell>
          <cell r="N30">
            <v>3481.6000000000004</v>
          </cell>
          <cell r="O30">
            <v>-179.19999999999936</v>
          </cell>
          <cell r="P30">
            <v>-4.8951048951048778E-2</v>
          </cell>
          <cell r="R30">
            <v>2008195</v>
          </cell>
          <cell r="S30">
            <v>0</v>
          </cell>
          <cell r="T30">
            <v>3661</v>
          </cell>
          <cell r="U30">
            <v>-179.39999999999964</v>
          </cell>
          <cell r="X30">
            <v>93</v>
          </cell>
          <cell r="Z30">
            <v>3661</v>
          </cell>
          <cell r="AB30">
            <v>-0.20000000000027285</v>
          </cell>
        </row>
        <row r="31">
          <cell r="D31">
            <v>3422</v>
          </cell>
          <cell r="E31" t="str">
            <v>Deepcar St John's Church of England Junior School</v>
          </cell>
          <cell r="F31">
            <v>10071383</v>
          </cell>
          <cell r="H31">
            <v>1153101</v>
          </cell>
          <cell r="J31">
            <v>1</v>
          </cell>
          <cell r="K31">
            <v>3276.8</v>
          </cell>
          <cell r="L31">
            <v>3276.8</v>
          </cell>
          <cell r="M31">
            <v>0</v>
          </cell>
          <cell r="N31">
            <v>2918.3999999999996</v>
          </cell>
          <cell r="O31">
            <v>-358.40000000000055</v>
          </cell>
          <cell r="P31">
            <v>-0.10937500000000017</v>
          </cell>
          <cell r="R31">
            <v>1153101</v>
          </cell>
          <cell r="S31">
            <v>0</v>
          </cell>
          <cell r="T31">
            <v>3194</v>
          </cell>
          <cell r="U31">
            <v>-275.60000000000036</v>
          </cell>
          <cell r="X31">
            <v>0</v>
          </cell>
          <cell r="Z31">
            <v>3194</v>
          </cell>
          <cell r="AB31">
            <v>82.800000000000182</v>
          </cell>
        </row>
        <row r="32">
          <cell r="D32">
            <v>2283</v>
          </cell>
          <cell r="E32" t="str">
            <v>Dobcroft Infant School</v>
          </cell>
          <cell r="F32">
            <v>10070908</v>
          </cell>
          <cell r="H32">
            <v>1153126</v>
          </cell>
          <cell r="J32">
            <v>0.42</v>
          </cell>
          <cell r="K32">
            <v>15590.4</v>
          </cell>
          <cell r="L32">
            <v>15590.4</v>
          </cell>
          <cell r="M32">
            <v>0</v>
          </cell>
          <cell r="N32">
            <v>16773.12</v>
          </cell>
          <cell r="O32">
            <v>1182.7199999999993</v>
          </cell>
          <cell r="P32">
            <v>7.5862068965517199E-2</v>
          </cell>
          <cell r="R32">
            <v>1153126</v>
          </cell>
          <cell r="S32">
            <v>0</v>
          </cell>
          <cell r="T32">
            <v>15413</v>
          </cell>
          <cell r="U32">
            <v>1360.119999999999</v>
          </cell>
          <cell r="X32">
            <v>0</v>
          </cell>
          <cell r="Z32">
            <v>15413</v>
          </cell>
          <cell r="AB32">
            <v>177.39999999999964</v>
          </cell>
        </row>
        <row r="33">
          <cell r="D33">
            <v>2239</v>
          </cell>
          <cell r="E33" t="str">
            <v>Dobcroft Junior School</v>
          </cell>
          <cell r="F33">
            <v>10071443</v>
          </cell>
          <cell r="H33">
            <v>1153126</v>
          </cell>
          <cell r="J33">
            <v>0.57999999999999996</v>
          </cell>
          <cell r="K33">
            <v>21529.599999999999</v>
          </cell>
          <cell r="L33">
            <v>21529.599999999999</v>
          </cell>
          <cell r="M33">
            <v>0</v>
          </cell>
          <cell r="N33">
            <v>23162.879999999997</v>
          </cell>
          <cell r="O33">
            <v>1633.2799999999988</v>
          </cell>
          <cell r="P33">
            <v>7.5862068965517199E-2</v>
          </cell>
          <cell r="R33">
            <v>1153126</v>
          </cell>
          <cell r="S33">
            <v>0</v>
          </cell>
          <cell r="T33">
            <v>21285</v>
          </cell>
          <cell r="U33">
            <v>1877.8799999999974</v>
          </cell>
          <cell r="X33">
            <v>0</v>
          </cell>
          <cell r="Z33">
            <v>21285</v>
          </cell>
          <cell r="AB33">
            <v>244.59999999999854</v>
          </cell>
        </row>
        <row r="34">
          <cell r="D34">
            <v>2364</v>
          </cell>
          <cell r="E34" t="str">
            <v>Dore Primary School</v>
          </cell>
          <cell r="F34">
            <v>10069455</v>
          </cell>
          <cell r="H34">
            <v>1153134</v>
          </cell>
          <cell r="J34">
            <v>1</v>
          </cell>
          <cell r="K34">
            <v>30208</v>
          </cell>
          <cell r="L34">
            <v>31232</v>
          </cell>
          <cell r="M34">
            <v>1024</v>
          </cell>
          <cell r="N34">
            <v>35072</v>
          </cell>
          <cell r="O34">
            <v>3840</v>
          </cell>
          <cell r="P34">
            <v>0.12295081967213115</v>
          </cell>
          <cell r="R34">
            <v>1153134</v>
          </cell>
          <cell r="S34">
            <v>0</v>
          </cell>
          <cell r="T34">
            <v>30798</v>
          </cell>
          <cell r="U34">
            <v>4274</v>
          </cell>
          <cell r="X34">
            <v>0</v>
          </cell>
          <cell r="Z34">
            <v>30798</v>
          </cell>
          <cell r="AB34">
            <v>434</v>
          </cell>
        </row>
        <row r="35">
          <cell r="D35">
            <v>2016</v>
          </cell>
          <cell r="E35" t="str">
            <v>E-ACT Pathways Academy</v>
          </cell>
          <cell r="F35">
            <v>10042713</v>
          </cell>
          <cell r="H35">
            <v>1979863</v>
          </cell>
          <cell r="J35">
            <v>1</v>
          </cell>
          <cell r="K35">
            <v>6451.2</v>
          </cell>
          <cell r="L35">
            <v>6451.2</v>
          </cell>
          <cell r="M35">
            <v>0</v>
          </cell>
          <cell r="N35">
            <v>6041.5999999999995</v>
          </cell>
          <cell r="O35">
            <v>-409.60000000000036</v>
          </cell>
          <cell r="P35">
            <v>-6.3492063492063544E-2</v>
          </cell>
          <cell r="R35">
            <v>1979863</v>
          </cell>
          <cell r="S35">
            <v>0</v>
          </cell>
          <cell r="T35">
            <v>6451</v>
          </cell>
          <cell r="U35">
            <v>-409.40000000000055</v>
          </cell>
          <cell r="X35">
            <v>164</v>
          </cell>
          <cell r="Z35">
            <v>6451</v>
          </cell>
          <cell r="AB35">
            <v>0.1999999999998181</v>
          </cell>
        </row>
        <row r="36">
          <cell r="D36">
            <v>2206</v>
          </cell>
          <cell r="E36" t="str">
            <v>Ecclesall Primary School</v>
          </cell>
          <cell r="F36">
            <v>10070913</v>
          </cell>
          <cell r="H36">
            <v>2267541</v>
          </cell>
          <cell r="J36">
            <v>1</v>
          </cell>
          <cell r="K36">
            <v>60928</v>
          </cell>
          <cell r="L36">
            <v>61440</v>
          </cell>
          <cell r="M36">
            <v>512</v>
          </cell>
          <cell r="N36">
            <v>79872</v>
          </cell>
          <cell r="O36">
            <v>18432</v>
          </cell>
          <cell r="P36">
            <v>0.3</v>
          </cell>
          <cell r="R36">
            <v>2267541</v>
          </cell>
          <cell r="S36">
            <v>0</v>
          </cell>
          <cell r="T36">
            <v>62118</v>
          </cell>
          <cell r="U36">
            <v>17754</v>
          </cell>
          <cell r="X36">
            <v>0</v>
          </cell>
          <cell r="Z36">
            <v>62118</v>
          </cell>
          <cell r="AB36">
            <v>-678</v>
          </cell>
        </row>
        <row r="37">
          <cell r="D37">
            <v>2080</v>
          </cell>
          <cell r="E37" t="str">
            <v>Ecclesfield Primary School</v>
          </cell>
          <cell r="F37">
            <v>10072601</v>
          </cell>
          <cell r="H37">
            <v>1153167</v>
          </cell>
          <cell r="J37">
            <v>1</v>
          </cell>
          <cell r="K37">
            <v>22330.25</v>
          </cell>
          <cell r="L37">
            <v>22330.25</v>
          </cell>
          <cell r="M37">
            <v>0</v>
          </cell>
          <cell r="N37">
            <v>26433.79</v>
          </cell>
          <cell r="O37">
            <v>4103.5400000000009</v>
          </cell>
          <cell r="P37">
            <v>0.18376596768956913</v>
          </cell>
          <cell r="R37">
            <v>1153167</v>
          </cell>
          <cell r="S37">
            <v>0</v>
          </cell>
          <cell r="T37">
            <v>22330</v>
          </cell>
          <cell r="U37">
            <v>4103.7900000000009</v>
          </cell>
          <cell r="X37">
            <v>0</v>
          </cell>
          <cell r="Z37">
            <v>22330</v>
          </cell>
          <cell r="AB37">
            <v>0.25</v>
          </cell>
        </row>
        <row r="38">
          <cell r="D38">
            <v>2024</v>
          </cell>
          <cell r="E38" t="str">
            <v>Emmanuel Anglican/Methodist Junior School</v>
          </cell>
          <cell r="F38">
            <v>10044565</v>
          </cell>
          <cell r="H38">
            <v>2077775</v>
          </cell>
          <cell r="J38">
            <v>1</v>
          </cell>
          <cell r="K38">
            <v>6144</v>
          </cell>
          <cell r="L38">
            <v>6144</v>
          </cell>
          <cell r="M38">
            <v>0</v>
          </cell>
          <cell r="N38">
            <v>5990.4</v>
          </cell>
          <cell r="O38">
            <v>-153.60000000000036</v>
          </cell>
          <cell r="P38">
            <v>-2.500000000000006E-2</v>
          </cell>
          <cell r="R38">
            <v>2077775</v>
          </cell>
          <cell r="S38">
            <v>0</v>
          </cell>
          <cell r="T38">
            <v>6144</v>
          </cell>
          <cell r="U38">
            <v>-153.60000000000036</v>
          </cell>
          <cell r="X38">
            <v>306</v>
          </cell>
          <cell r="Z38">
            <v>6144</v>
          </cell>
          <cell r="AB38">
            <v>0</v>
          </cell>
        </row>
        <row r="39">
          <cell r="D39">
            <v>2028</v>
          </cell>
          <cell r="E39" t="str">
            <v>Emmaus Catholic and CofE Primary School</v>
          </cell>
          <cell r="F39">
            <v>10045846</v>
          </cell>
          <cell r="G39">
            <v>2034066</v>
          </cell>
          <cell r="H39">
            <v>2467547</v>
          </cell>
          <cell r="J39">
            <v>1</v>
          </cell>
          <cell r="K39">
            <v>8345.5999999999985</v>
          </cell>
          <cell r="L39">
            <v>8345.5999999999985</v>
          </cell>
          <cell r="M39">
            <v>0</v>
          </cell>
          <cell r="N39">
            <v>10240</v>
          </cell>
          <cell r="O39">
            <v>1894.4000000000015</v>
          </cell>
          <cell r="P39">
            <v>0.22699386503067506</v>
          </cell>
          <cell r="R39" t="e">
            <v>#N/A</v>
          </cell>
          <cell r="S39" t="e">
            <v>#N/A</v>
          </cell>
          <cell r="T39">
            <v>8346</v>
          </cell>
          <cell r="U39">
            <v>1894</v>
          </cell>
          <cell r="X39">
            <v>212</v>
          </cell>
          <cell r="Z39">
            <v>8346</v>
          </cell>
          <cell r="AB39">
            <v>-0.40000000000145519</v>
          </cell>
        </row>
        <row r="40">
          <cell r="D40">
            <v>2010</v>
          </cell>
          <cell r="E40" t="str">
            <v>Fox Hill Primary</v>
          </cell>
          <cell r="F40">
            <v>10039865</v>
          </cell>
          <cell r="H40">
            <v>2106464</v>
          </cell>
          <cell r="J40">
            <v>1</v>
          </cell>
          <cell r="K40">
            <v>7987.2000000000007</v>
          </cell>
          <cell r="L40">
            <v>7987.2000000000007</v>
          </cell>
          <cell r="M40">
            <v>0</v>
          </cell>
          <cell r="N40">
            <v>10408.32</v>
          </cell>
          <cell r="O40">
            <v>2421.119999999999</v>
          </cell>
          <cell r="P40">
            <v>0.30312499999999987</v>
          </cell>
          <cell r="R40">
            <v>2106464</v>
          </cell>
          <cell r="S40">
            <v>0</v>
          </cell>
          <cell r="T40">
            <v>7987</v>
          </cell>
          <cell r="U40">
            <v>2421.3199999999997</v>
          </cell>
          <cell r="X40">
            <v>203</v>
          </cell>
          <cell r="Z40">
            <v>7987</v>
          </cell>
          <cell r="AB40">
            <v>0.2000000000007276</v>
          </cell>
        </row>
        <row r="41">
          <cell r="D41">
            <v>2036</v>
          </cell>
          <cell r="E41" t="str">
            <v>Gleadless Primary School</v>
          </cell>
          <cell r="F41">
            <v>10075684</v>
          </cell>
          <cell r="H41">
            <v>1153223</v>
          </cell>
          <cell r="J41">
            <v>1</v>
          </cell>
          <cell r="K41">
            <v>32256</v>
          </cell>
          <cell r="L41">
            <v>32256</v>
          </cell>
          <cell r="M41">
            <v>0</v>
          </cell>
          <cell r="N41">
            <v>37134.050000000003</v>
          </cell>
          <cell r="O41">
            <v>4878.0500000000029</v>
          </cell>
          <cell r="P41">
            <v>0.15122922867063501</v>
          </cell>
          <cell r="R41">
            <v>1153223</v>
          </cell>
          <cell r="S41">
            <v>0</v>
          </cell>
          <cell r="T41">
            <v>32886</v>
          </cell>
          <cell r="U41">
            <v>4248.0500000000029</v>
          </cell>
          <cell r="X41">
            <v>0</v>
          </cell>
          <cell r="Z41">
            <v>32886</v>
          </cell>
          <cell r="AB41">
            <v>-630</v>
          </cell>
        </row>
        <row r="42">
          <cell r="D42">
            <v>2305</v>
          </cell>
          <cell r="E42" t="str">
            <v>Greengate Lane Academy</v>
          </cell>
          <cell r="F42">
            <v>10040281</v>
          </cell>
          <cell r="H42">
            <v>2150188</v>
          </cell>
          <cell r="J42">
            <v>1</v>
          </cell>
          <cell r="K42">
            <v>3968</v>
          </cell>
          <cell r="L42">
            <v>3968</v>
          </cell>
          <cell r="M42">
            <v>0</v>
          </cell>
          <cell r="N42">
            <v>4572.1400000000003</v>
          </cell>
          <cell r="O42">
            <v>604.14000000000033</v>
          </cell>
          <cell r="P42">
            <v>0.15225302419354847</v>
          </cell>
          <cell r="R42">
            <v>2150188</v>
          </cell>
          <cell r="S42">
            <v>0</v>
          </cell>
          <cell r="T42">
            <v>3968</v>
          </cell>
          <cell r="U42">
            <v>604.14000000000033</v>
          </cell>
          <cell r="X42">
            <v>-78</v>
          </cell>
          <cell r="Z42">
            <v>3968</v>
          </cell>
          <cell r="AB42">
            <v>0</v>
          </cell>
        </row>
        <row r="43">
          <cell r="D43">
            <v>2341</v>
          </cell>
          <cell r="E43" t="str">
            <v>Greenhill Primary School</v>
          </cell>
          <cell r="F43">
            <v>10066623</v>
          </cell>
          <cell r="H43">
            <v>2234582</v>
          </cell>
          <cell r="J43">
            <v>1</v>
          </cell>
          <cell r="K43">
            <v>6400</v>
          </cell>
          <cell r="L43">
            <v>6400</v>
          </cell>
          <cell r="M43">
            <v>0</v>
          </cell>
          <cell r="N43">
            <v>7373.33</v>
          </cell>
          <cell r="O43">
            <v>973.32999999999993</v>
          </cell>
          <cell r="P43">
            <v>0.1520828125</v>
          </cell>
          <cell r="R43">
            <v>2234582</v>
          </cell>
          <cell r="S43">
            <v>0</v>
          </cell>
          <cell r="T43">
            <v>6400</v>
          </cell>
          <cell r="U43">
            <v>973.32999999999993</v>
          </cell>
          <cell r="X43">
            <v>-125</v>
          </cell>
          <cell r="Z43">
            <v>6400</v>
          </cell>
          <cell r="AB43">
            <v>0</v>
          </cell>
        </row>
        <row r="44">
          <cell r="D44">
            <v>2296</v>
          </cell>
          <cell r="E44" t="str">
            <v>Grenoside Community Primary School</v>
          </cell>
          <cell r="F44">
            <v>10072599</v>
          </cell>
          <cell r="H44">
            <v>1605577</v>
          </cell>
          <cell r="J44">
            <v>1</v>
          </cell>
          <cell r="K44">
            <v>42240</v>
          </cell>
          <cell r="L44">
            <v>42240</v>
          </cell>
          <cell r="M44">
            <v>0</v>
          </cell>
          <cell r="N44">
            <v>48610.13</v>
          </cell>
          <cell r="O44">
            <v>6370.1299999999974</v>
          </cell>
          <cell r="P44">
            <v>0.15080800189393934</v>
          </cell>
          <cell r="R44">
            <v>1605577</v>
          </cell>
          <cell r="S44">
            <v>0</v>
          </cell>
          <cell r="T44">
            <v>43065</v>
          </cell>
          <cell r="U44">
            <v>5545.1299999999974</v>
          </cell>
          <cell r="X44">
            <v>0</v>
          </cell>
          <cell r="Z44">
            <v>43065</v>
          </cell>
          <cell r="AB44">
            <v>-825</v>
          </cell>
        </row>
        <row r="45">
          <cell r="D45">
            <v>2356</v>
          </cell>
          <cell r="E45" t="str">
            <v>Greystones Primary School</v>
          </cell>
          <cell r="F45">
            <v>10077344</v>
          </cell>
          <cell r="H45">
            <v>1153297</v>
          </cell>
          <cell r="J45">
            <v>1</v>
          </cell>
          <cell r="K45">
            <v>46592</v>
          </cell>
          <cell r="L45">
            <v>46592</v>
          </cell>
          <cell r="M45">
            <v>0</v>
          </cell>
          <cell r="N45">
            <v>57344</v>
          </cell>
          <cell r="O45">
            <v>10752</v>
          </cell>
          <cell r="P45">
            <v>0.23076923076923078</v>
          </cell>
          <cell r="R45">
            <v>1153297</v>
          </cell>
          <cell r="S45">
            <v>0</v>
          </cell>
          <cell r="T45">
            <v>50112</v>
          </cell>
          <cell r="U45">
            <v>7232</v>
          </cell>
          <cell r="X45">
            <v>0</v>
          </cell>
          <cell r="Z45">
            <v>50112</v>
          </cell>
          <cell r="AB45">
            <v>-3520</v>
          </cell>
        </row>
        <row r="46">
          <cell r="D46">
            <v>2279</v>
          </cell>
          <cell r="E46" t="str">
            <v>Halfway Junior School</v>
          </cell>
          <cell r="F46">
            <v>10071440</v>
          </cell>
          <cell r="H46">
            <v>1153304</v>
          </cell>
          <cell r="J46">
            <v>1</v>
          </cell>
          <cell r="K46">
            <v>14970</v>
          </cell>
          <cell r="L46">
            <v>14970</v>
          </cell>
          <cell r="M46">
            <v>0</v>
          </cell>
          <cell r="N46">
            <v>16966</v>
          </cell>
          <cell r="O46">
            <v>1996</v>
          </cell>
          <cell r="P46">
            <v>0.13333333333333333</v>
          </cell>
          <cell r="R46">
            <v>1153304</v>
          </cell>
          <cell r="S46">
            <v>0</v>
          </cell>
          <cell r="T46">
            <v>14970</v>
          </cell>
          <cell r="U46">
            <v>1996</v>
          </cell>
          <cell r="X46">
            <v>0</v>
          </cell>
          <cell r="Z46">
            <v>14970</v>
          </cell>
          <cell r="AB46">
            <v>0</v>
          </cell>
        </row>
        <row r="47">
          <cell r="D47">
            <v>2252</v>
          </cell>
          <cell r="E47" t="str">
            <v>Halfway Nursery Infant School</v>
          </cell>
          <cell r="F47">
            <v>10070909</v>
          </cell>
          <cell r="H47">
            <v>1153312</v>
          </cell>
          <cell r="J47">
            <v>1</v>
          </cell>
          <cell r="K47">
            <v>12475</v>
          </cell>
          <cell r="L47">
            <v>12475</v>
          </cell>
          <cell r="M47">
            <v>0</v>
          </cell>
          <cell r="N47">
            <v>14346.25</v>
          </cell>
          <cell r="O47">
            <v>1871.25</v>
          </cell>
          <cell r="P47">
            <v>0.15</v>
          </cell>
          <cell r="R47">
            <v>1153312</v>
          </cell>
          <cell r="S47">
            <v>0</v>
          </cell>
          <cell r="T47">
            <v>12475</v>
          </cell>
          <cell r="U47">
            <v>1871.25</v>
          </cell>
          <cell r="X47">
            <v>0</v>
          </cell>
          <cell r="Z47">
            <v>12475</v>
          </cell>
          <cell r="AB47">
            <v>0</v>
          </cell>
        </row>
        <row r="48">
          <cell r="D48">
            <v>2357</v>
          </cell>
          <cell r="E48" t="str">
            <v>Hallam Primary School</v>
          </cell>
          <cell r="F48">
            <v>10053772</v>
          </cell>
          <cell r="H48">
            <v>2101790</v>
          </cell>
          <cell r="J48">
            <v>1</v>
          </cell>
          <cell r="K48">
            <v>8192</v>
          </cell>
          <cell r="L48">
            <v>8192</v>
          </cell>
          <cell r="M48">
            <v>0</v>
          </cell>
          <cell r="N48">
            <v>9436.4</v>
          </cell>
          <cell r="O48">
            <v>1244.3999999999996</v>
          </cell>
          <cell r="P48">
            <v>0.15190429687499996</v>
          </cell>
          <cell r="R48">
            <v>2101790</v>
          </cell>
          <cell r="S48">
            <v>0</v>
          </cell>
          <cell r="T48">
            <v>8192</v>
          </cell>
          <cell r="U48">
            <v>1244.3999999999996</v>
          </cell>
          <cell r="X48">
            <v>2008</v>
          </cell>
          <cell r="Z48">
            <v>8192</v>
          </cell>
          <cell r="AB48">
            <v>0</v>
          </cell>
        </row>
        <row r="49">
          <cell r="D49">
            <v>2050</v>
          </cell>
          <cell r="E49" t="str">
            <v>Hartley Brook Primary School</v>
          </cell>
          <cell r="F49">
            <v>10063167</v>
          </cell>
          <cell r="H49">
            <v>2130797</v>
          </cell>
          <cell r="J49">
            <v>1</v>
          </cell>
          <cell r="K49">
            <v>7168</v>
          </cell>
          <cell r="L49">
            <v>7168</v>
          </cell>
          <cell r="M49">
            <v>0</v>
          </cell>
          <cell r="N49">
            <v>8280.9</v>
          </cell>
          <cell r="O49">
            <v>1112.8999999999996</v>
          </cell>
          <cell r="P49">
            <v>0.15525948660714281</v>
          </cell>
          <cell r="R49">
            <v>2130797</v>
          </cell>
          <cell r="S49">
            <v>0</v>
          </cell>
          <cell r="T49">
            <v>7168</v>
          </cell>
          <cell r="U49">
            <v>1112.8999999999996</v>
          </cell>
          <cell r="X49">
            <v>-140</v>
          </cell>
          <cell r="Z49">
            <v>7168</v>
          </cell>
          <cell r="AB49">
            <v>0</v>
          </cell>
        </row>
        <row r="50">
          <cell r="D50">
            <v>2049</v>
          </cell>
          <cell r="E50" t="str">
            <v>Hatfield Academy</v>
          </cell>
          <cell r="F50">
            <v>10063166</v>
          </cell>
          <cell r="H50">
            <v>2130812</v>
          </cell>
          <cell r="J50">
            <v>1</v>
          </cell>
          <cell r="K50">
            <v>5120</v>
          </cell>
          <cell r="L50">
            <v>5120</v>
          </cell>
          <cell r="M50">
            <v>0</v>
          </cell>
          <cell r="N50">
            <v>5901</v>
          </cell>
          <cell r="O50">
            <v>781</v>
          </cell>
          <cell r="P50">
            <v>0.15253906249999999</v>
          </cell>
          <cell r="R50">
            <v>2130812</v>
          </cell>
          <cell r="S50">
            <v>0</v>
          </cell>
          <cell r="T50">
            <v>5120</v>
          </cell>
          <cell r="U50">
            <v>781</v>
          </cell>
          <cell r="X50">
            <v>-100</v>
          </cell>
          <cell r="Z50">
            <v>5120</v>
          </cell>
          <cell r="AB50">
            <v>0</v>
          </cell>
        </row>
        <row r="51">
          <cell r="D51">
            <v>2297</v>
          </cell>
          <cell r="E51" t="str">
            <v>High Green Primary School</v>
          </cell>
          <cell r="F51">
            <v>10077346</v>
          </cell>
          <cell r="H51">
            <v>1153434</v>
          </cell>
          <cell r="J51">
            <v>1</v>
          </cell>
          <cell r="K51">
            <v>10853.25</v>
          </cell>
          <cell r="L51">
            <v>10853.25</v>
          </cell>
          <cell r="M51">
            <v>0</v>
          </cell>
          <cell r="N51">
            <v>12481.237499999999</v>
          </cell>
          <cell r="O51">
            <v>1627.9874999999993</v>
          </cell>
          <cell r="P51">
            <v>0.14999999999999994</v>
          </cell>
          <cell r="R51">
            <v>1153434</v>
          </cell>
          <cell r="S51">
            <v>0</v>
          </cell>
          <cell r="T51">
            <v>10853</v>
          </cell>
          <cell r="U51">
            <v>1628.2374999999993</v>
          </cell>
          <cell r="X51">
            <v>0</v>
          </cell>
          <cell r="Z51">
            <v>10853</v>
          </cell>
          <cell r="AB51">
            <v>0.25</v>
          </cell>
        </row>
        <row r="52">
          <cell r="D52">
            <v>2042</v>
          </cell>
          <cell r="E52" t="str">
            <v>High Hazels Junior School</v>
          </cell>
          <cell r="F52">
            <v>10047540</v>
          </cell>
          <cell r="H52">
            <v>2058497</v>
          </cell>
          <cell r="J52">
            <v>0.59799999999999998</v>
          </cell>
          <cell r="K52">
            <v>5174.3743999999997</v>
          </cell>
          <cell r="L52">
            <v>5174.3743999999997</v>
          </cell>
          <cell r="M52">
            <v>0</v>
          </cell>
          <cell r="N52">
            <v>4102.7583999999997</v>
          </cell>
          <cell r="O52">
            <v>-1071.616</v>
          </cell>
          <cell r="P52">
            <v>-0.20710059171597633</v>
          </cell>
          <cell r="R52">
            <v>2058497</v>
          </cell>
          <cell r="S52">
            <v>0</v>
          </cell>
          <cell r="T52">
            <v>5174</v>
          </cell>
          <cell r="U52">
            <v>-1071.2416000000003</v>
          </cell>
          <cell r="X52">
            <v>131</v>
          </cell>
          <cell r="Z52">
            <v>5174</v>
          </cell>
          <cell r="AB52">
            <v>0.37439999999969586</v>
          </cell>
        </row>
        <row r="53">
          <cell r="D53">
            <v>2039</v>
          </cell>
          <cell r="E53" t="str">
            <v>High Hazels Nursery Infant Academy</v>
          </cell>
          <cell r="F53">
            <v>10047539</v>
          </cell>
          <cell r="H53">
            <v>2058497</v>
          </cell>
          <cell r="J53">
            <v>0.40200000000000002</v>
          </cell>
          <cell r="K53">
            <v>3478.4256</v>
          </cell>
          <cell r="L53">
            <v>3478.4256</v>
          </cell>
          <cell r="M53">
            <v>0</v>
          </cell>
          <cell r="N53">
            <v>2758.0416</v>
          </cell>
          <cell r="O53">
            <v>-720.38400000000001</v>
          </cell>
          <cell r="P53">
            <v>-0.20710059171597633</v>
          </cell>
          <cell r="R53">
            <v>2058497</v>
          </cell>
          <cell r="S53">
            <v>0</v>
          </cell>
          <cell r="T53">
            <v>3478</v>
          </cell>
          <cell r="U53">
            <v>-719.95839999999998</v>
          </cell>
          <cell r="X53">
            <v>88</v>
          </cell>
          <cell r="Z53">
            <v>3478</v>
          </cell>
          <cell r="AB53">
            <v>0.42560000000003129</v>
          </cell>
        </row>
        <row r="54">
          <cell r="D54">
            <v>2339</v>
          </cell>
          <cell r="E54" t="str">
            <v>Hillsborough Primary School</v>
          </cell>
          <cell r="F54">
            <v>10043927</v>
          </cell>
          <cell r="H54">
            <v>1990027</v>
          </cell>
          <cell r="J54">
            <v>1</v>
          </cell>
          <cell r="K54">
            <v>4992</v>
          </cell>
          <cell r="L54">
            <v>4992</v>
          </cell>
          <cell r="M54">
            <v>0</v>
          </cell>
          <cell r="N54">
            <v>5753.64</v>
          </cell>
          <cell r="O54">
            <v>761.64000000000033</v>
          </cell>
          <cell r="P54">
            <v>0.15257211538461546</v>
          </cell>
          <cell r="R54">
            <v>1990027</v>
          </cell>
          <cell r="S54">
            <v>0</v>
          </cell>
          <cell r="T54">
            <v>4992</v>
          </cell>
          <cell r="U54">
            <v>761.64000000000033</v>
          </cell>
          <cell r="X54">
            <v>276</v>
          </cell>
          <cell r="Z54">
            <v>4992</v>
          </cell>
          <cell r="AB54">
            <v>0</v>
          </cell>
        </row>
        <row r="55">
          <cell r="D55">
            <v>2213</v>
          </cell>
          <cell r="E55" t="str">
            <v>Holt House Infant School</v>
          </cell>
          <cell r="F55">
            <v>10070912</v>
          </cell>
          <cell r="H55">
            <v>1153467</v>
          </cell>
          <cell r="J55">
            <v>1</v>
          </cell>
          <cell r="K55">
            <v>13098.75</v>
          </cell>
          <cell r="L55">
            <v>13098.75</v>
          </cell>
          <cell r="M55">
            <v>0</v>
          </cell>
          <cell r="N55">
            <v>15063.562499999998</v>
          </cell>
          <cell r="O55">
            <v>1964.8124999999982</v>
          </cell>
          <cell r="P55">
            <v>0.14999999999999986</v>
          </cell>
          <cell r="R55">
            <v>1153467</v>
          </cell>
          <cell r="S55">
            <v>0</v>
          </cell>
          <cell r="T55">
            <v>13099</v>
          </cell>
          <cell r="U55">
            <v>1964.5624999999982</v>
          </cell>
          <cell r="X55">
            <v>0</v>
          </cell>
          <cell r="Z55">
            <v>13099</v>
          </cell>
          <cell r="AB55">
            <v>-0.25</v>
          </cell>
        </row>
        <row r="56">
          <cell r="D56">
            <v>2337</v>
          </cell>
          <cell r="E56" t="str">
            <v>Hucklow Primary School</v>
          </cell>
          <cell r="F56">
            <v>10055691</v>
          </cell>
          <cell r="H56">
            <v>2127216</v>
          </cell>
          <cell r="J56">
            <v>1</v>
          </cell>
          <cell r="K56">
            <v>4736</v>
          </cell>
          <cell r="L56">
            <v>6912</v>
          </cell>
          <cell r="M56">
            <v>2176</v>
          </cell>
          <cell r="N56">
            <v>6297.6</v>
          </cell>
          <cell r="O56">
            <v>-614.39999999999964</v>
          </cell>
          <cell r="P56">
            <v>-8.8888888888888837E-2</v>
          </cell>
          <cell r="R56">
            <v>2127216</v>
          </cell>
          <cell r="S56">
            <v>0</v>
          </cell>
          <cell r="T56">
            <v>4736</v>
          </cell>
          <cell r="U56">
            <v>1561.6000000000004</v>
          </cell>
          <cell r="X56">
            <v>-93</v>
          </cell>
          <cell r="Z56">
            <v>4736</v>
          </cell>
          <cell r="AB56">
            <v>2176</v>
          </cell>
        </row>
        <row r="57">
          <cell r="D57">
            <v>2060</v>
          </cell>
          <cell r="E57" t="str">
            <v>Hunter's Bar Infant School</v>
          </cell>
          <cell r="F57">
            <v>10070915</v>
          </cell>
          <cell r="H57">
            <v>1153483</v>
          </cell>
          <cell r="J57">
            <v>0.39800000000000002</v>
          </cell>
          <cell r="K57">
            <v>13347.328000000001</v>
          </cell>
          <cell r="L57">
            <v>13347.328000000001</v>
          </cell>
          <cell r="M57">
            <v>0</v>
          </cell>
          <cell r="N57">
            <v>15396.900640000002</v>
          </cell>
          <cell r="O57">
            <v>2049.5726400000003</v>
          </cell>
          <cell r="P57">
            <v>0.1535567748091603</v>
          </cell>
          <cell r="R57">
            <v>1153483</v>
          </cell>
          <cell r="S57">
            <v>0</v>
          </cell>
          <cell r="T57">
            <v>13608</v>
          </cell>
          <cell r="U57">
            <v>1788.9006400000017</v>
          </cell>
          <cell r="X57">
            <v>0</v>
          </cell>
          <cell r="Z57">
            <v>13608</v>
          </cell>
          <cell r="AB57">
            <v>-260.67199999999866</v>
          </cell>
        </row>
        <row r="58">
          <cell r="D58">
            <v>2058</v>
          </cell>
          <cell r="E58" t="str">
            <v>Hunter's Bar Junior School</v>
          </cell>
          <cell r="F58">
            <v>10071445</v>
          </cell>
          <cell r="H58">
            <v>1153483</v>
          </cell>
          <cell r="J58">
            <v>0.60199999999999998</v>
          </cell>
          <cell r="K58">
            <v>20188.671999999999</v>
          </cell>
          <cell r="L58">
            <v>20188.671999999999</v>
          </cell>
          <cell r="M58">
            <v>0</v>
          </cell>
          <cell r="N58">
            <v>23288.77936</v>
          </cell>
          <cell r="O58">
            <v>3100.1073600000018</v>
          </cell>
          <cell r="P58">
            <v>0.15355677480916041</v>
          </cell>
          <cell r="R58">
            <v>1153483</v>
          </cell>
          <cell r="S58">
            <v>0</v>
          </cell>
          <cell r="T58">
            <v>20583</v>
          </cell>
          <cell r="U58">
            <v>2705.7793600000005</v>
          </cell>
          <cell r="X58">
            <v>0</v>
          </cell>
          <cell r="Z58">
            <v>20583</v>
          </cell>
          <cell r="AB58">
            <v>-394.32800000000134</v>
          </cell>
        </row>
        <row r="59">
          <cell r="D59">
            <v>2063</v>
          </cell>
          <cell r="E59" t="str">
            <v>Intake Primary School</v>
          </cell>
          <cell r="F59">
            <v>10073049</v>
          </cell>
          <cell r="H59">
            <v>1153491</v>
          </cell>
          <cell r="J59">
            <v>1</v>
          </cell>
          <cell r="K59">
            <v>27648</v>
          </cell>
          <cell r="L59">
            <v>27648</v>
          </cell>
          <cell r="M59">
            <v>0</v>
          </cell>
          <cell r="N59">
            <v>31878.400000000001</v>
          </cell>
          <cell r="O59">
            <v>4230.4000000000015</v>
          </cell>
          <cell r="P59">
            <v>0.15300925925925932</v>
          </cell>
          <cell r="R59">
            <v>1153491</v>
          </cell>
          <cell r="S59">
            <v>0</v>
          </cell>
          <cell r="T59">
            <v>28188</v>
          </cell>
          <cell r="U59">
            <v>3690.4000000000015</v>
          </cell>
          <cell r="X59">
            <v>0</v>
          </cell>
          <cell r="Z59">
            <v>28188</v>
          </cell>
          <cell r="AB59">
            <v>-540</v>
          </cell>
        </row>
        <row r="60">
          <cell r="D60">
            <v>2261</v>
          </cell>
          <cell r="E60" t="str">
            <v>Limpsfield Junior School</v>
          </cell>
          <cell r="F60">
            <v>10071441</v>
          </cell>
          <cell r="H60">
            <v>1153515</v>
          </cell>
          <cell r="J60">
            <v>1</v>
          </cell>
          <cell r="K60">
            <v>17589.75</v>
          </cell>
          <cell r="L60">
            <v>17589.75</v>
          </cell>
          <cell r="M60">
            <v>0</v>
          </cell>
          <cell r="N60">
            <v>18048</v>
          </cell>
          <cell r="O60">
            <v>458.25</v>
          </cell>
          <cell r="P60">
            <v>2.6052104208416832E-2</v>
          </cell>
          <cell r="R60">
            <v>1153515</v>
          </cell>
          <cell r="S60">
            <v>0</v>
          </cell>
          <cell r="T60">
            <v>17590</v>
          </cell>
          <cell r="U60">
            <v>458</v>
          </cell>
          <cell r="X60">
            <v>0</v>
          </cell>
          <cell r="Z60">
            <v>17590</v>
          </cell>
          <cell r="AB60">
            <v>-0.25</v>
          </cell>
        </row>
        <row r="61">
          <cell r="D61">
            <v>2315</v>
          </cell>
          <cell r="E61" t="str">
            <v>Lound Infant School</v>
          </cell>
          <cell r="F61">
            <v>10042263</v>
          </cell>
          <cell r="H61">
            <v>1971698</v>
          </cell>
          <cell r="J61">
            <v>1</v>
          </cell>
          <cell r="K61">
            <v>3020.7999999999997</v>
          </cell>
          <cell r="L61">
            <v>3020.7999999999997</v>
          </cell>
          <cell r="M61">
            <v>0</v>
          </cell>
          <cell r="N61">
            <v>2969.6</v>
          </cell>
          <cell r="O61">
            <v>-51.199999999999818</v>
          </cell>
          <cell r="P61">
            <v>-1.6949152542372822E-2</v>
          </cell>
          <cell r="R61">
            <v>1971698</v>
          </cell>
          <cell r="S61">
            <v>0</v>
          </cell>
          <cell r="T61">
            <v>3021</v>
          </cell>
          <cell r="U61">
            <v>-51.400000000000091</v>
          </cell>
          <cell r="X61">
            <v>77</v>
          </cell>
          <cell r="Z61">
            <v>3021</v>
          </cell>
          <cell r="AB61">
            <v>-0.20000000000027285</v>
          </cell>
        </row>
        <row r="62">
          <cell r="D62">
            <v>2298</v>
          </cell>
          <cell r="E62" t="str">
            <v>Lound Junior School</v>
          </cell>
          <cell r="F62">
            <v>10042264</v>
          </cell>
          <cell r="H62">
            <v>1971713</v>
          </cell>
          <cell r="J62">
            <v>1</v>
          </cell>
          <cell r="K62">
            <v>3174.4</v>
          </cell>
          <cell r="L62">
            <v>3174.4</v>
          </cell>
          <cell r="M62">
            <v>0</v>
          </cell>
          <cell r="N62">
            <v>3662.52</v>
          </cell>
          <cell r="O62">
            <v>488.11999999999989</v>
          </cell>
          <cell r="P62">
            <v>0.15376764112903221</v>
          </cell>
          <cell r="R62">
            <v>1971713</v>
          </cell>
          <cell r="S62">
            <v>0</v>
          </cell>
          <cell r="T62">
            <v>3174</v>
          </cell>
          <cell r="U62">
            <v>488.52</v>
          </cell>
          <cell r="X62">
            <v>80</v>
          </cell>
          <cell r="Z62">
            <v>3174</v>
          </cell>
          <cell r="AB62">
            <v>0.40000000000009095</v>
          </cell>
        </row>
        <row r="63">
          <cell r="D63">
            <v>2029</v>
          </cell>
          <cell r="E63" t="str">
            <v>Lowedges Junior Academy</v>
          </cell>
          <cell r="F63">
            <v>10046542</v>
          </cell>
          <cell r="H63">
            <v>2040562</v>
          </cell>
          <cell r="J63">
            <v>1</v>
          </cell>
          <cell r="K63">
            <v>4684.8</v>
          </cell>
          <cell r="L63">
            <v>4684.8</v>
          </cell>
          <cell r="M63">
            <v>0</v>
          </cell>
          <cell r="N63">
            <v>5418.43</v>
          </cell>
          <cell r="O63">
            <v>733.63000000000011</v>
          </cell>
          <cell r="P63">
            <v>0.15659793374316941</v>
          </cell>
          <cell r="R63">
            <v>2040562</v>
          </cell>
          <cell r="S63">
            <v>0</v>
          </cell>
          <cell r="T63">
            <v>4685</v>
          </cell>
          <cell r="U63">
            <v>733.43000000000029</v>
          </cell>
          <cell r="X63">
            <v>319</v>
          </cell>
          <cell r="Z63">
            <v>4685</v>
          </cell>
          <cell r="AB63">
            <v>-0.1999999999998181</v>
          </cell>
        </row>
        <row r="64">
          <cell r="D64">
            <v>2045</v>
          </cell>
          <cell r="E64" t="str">
            <v>Lower Meadow Primary School</v>
          </cell>
          <cell r="F64">
            <v>10057186</v>
          </cell>
          <cell r="H64">
            <v>2143716</v>
          </cell>
          <cell r="J64">
            <v>1</v>
          </cell>
          <cell r="K64">
            <v>5324.8</v>
          </cell>
          <cell r="L64">
            <v>5324.8</v>
          </cell>
          <cell r="M64">
            <v>0</v>
          </cell>
          <cell r="N64">
            <v>5683.2000000000007</v>
          </cell>
          <cell r="O64">
            <v>358.40000000000055</v>
          </cell>
          <cell r="P64">
            <v>6.7307692307692402E-2</v>
          </cell>
          <cell r="R64">
            <v>2143716</v>
          </cell>
          <cell r="S64">
            <v>0</v>
          </cell>
          <cell r="T64">
            <v>5325</v>
          </cell>
          <cell r="U64">
            <v>358.20000000000073</v>
          </cell>
          <cell r="X64">
            <v>-104</v>
          </cell>
          <cell r="Z64">
            <v>5325</v>
          </cell>
          <cell r="AB64">
            <v>-0.1999999999998181</v>
          </cell>
        </row>
        <row r="65">
          <cell r="D65">
            <v>2070</v>
          </cell>
          <cell r="E65" t="str">
            <v>Lowfield Community Primary School</v>
          </cell>
          <cell r="F65">
            <v>10078408</v>
          </cell>
          <cell r="H65">
            <v>1153572</v>
          </cell>
          <cell r="J65">
            <v>1</v>
          </cell>
          <cell r="K65">
            <v>24201.5</v>
          </cell>
          <cell r="L65">
            <v>24201.5</v>
          </cell>
          <cell r="M65">
            <v>0</v>
          </cell>
          <cell r="N65">
            <v>28637.73</v>
          </cell>
          <cell r="O65">
            <v>4436.2299999999996</v>
          </cell>
          <cell r="P65">
            <v>0.18330392744251386</v>
          </cell>
          <cell r="R65">
            <v>1153572</v>
          </cell>
          <cell r="S65">
            <v>0</v>
          </cell>
          <cell r="T65">
            <v>24202</v>
          </cell>
          <cell r="U65">
            <v>4435.7299999999996</v>
          </cell>
          <cell r="X65">
            <v>0</v>
          </cell>
          <cell r="Z65">
            <v>24202</v>
          </cell>
          <cell r="AB65">
            <v>-0.5</v>
          </cell>
        </row>
        <row r="66">
          <cell r="D66">
            <v>2292</v>
          </cell>
          <cell r="E66" t="str">
            <v>Loxley Primary School</v>
          </cell>
          <cell r="F66">
            <v>10081932</v>
          </cell>
          <cell r="H66">
            <v>2304793</v>
          </cell>
          <cell r="J66">
            <v>1</v>
          </cell>
          <cell r="K66">
            <v>2892.7999999999997</v>
          </cell>
          <cell r="L66">
            <v>2892.7999999999997</v>
          </cell>
          <cell r="M66">
            <v>0</v>
          </cell>
          <cell r="N66">
            <v>3333.9</v>
          </cell>
          <cell r="O66">
            <v>441.10000000000036</v>
          </cell>
          <cell r="P66">
            <v>0.15248202433628333</v>
          </cell>
          <cell r="R66">
            <v>2304793</v>
          </cell>
          <cell r="S66">
            <v>0</v>
          </cell>
          <cell r="T66">
            <v>2893</v>
          </cell>
          <cell r="U66">
            <v>440.90000000000009</v>
          </cell>
          <cell r="X66">
            <v>-183</v>
          </cell>
          <cell r="Z66">
            <v>2893</v>
          </cell>
          <cell r="AB66">
            <v>-0.20000000000027285</v>
          </cell>
        </row>
        <row r="67">
          <cell r="D67">
            <v>2072</v>
          </cell>
          <cell r="E67" t="str">
            <v>Lydgate Infant School</v>
          </cell>
          <cell r="F67">
            <v>10070914</v>
          </cell>
          <cell r="H67">
            <v>1153604</v>
          </cell>
          <cell r="J67">
            <v>1</v>
          </cell>
          <cell r="K67">
            <v>21082.75</v>
          </cell>
          <cell r="L67">
            <v>21082.75</v>
          </cell>
          <cell r="M67">
            <v>0</v>
          </cell>
          <cell r="N67">
            <v>24966.66</v>
          </cell>
          <cell r="O67">
            <v>3883.91</v>
          </cell>
          <cell r="P67">
            <v>0.18422217215496081</v>
          </cell>
          <cell r="R67">
            <v>1153604</v>
          </cell>
          <cell r="S67">
            <v>0</v>
          </cell>
          <cell r="T67">
            <v>21083</v>
          </cell>
          <cell r="U67">
            <v>3883.66</v>
          </cell>
          <cell r="X67">
            <v>0</v>
          </cell>
          <cell r="Z67">
            <v>21083</v>
          </cell>
          <cell r="AB67">
            <v>-0.25</v>
          </cell>
        </row>
        <row r="68">
          <cell r="D68">
            <v>2071</v>
          </cell>
          <cell r="E68" t="str">
            <v>Lydgate Junior School</v>
          </cell>
          <cell r="F68">
            <v>10071444</v>
          </cell>
          <cell r="H68">
            <v>1153597</v>
          </cell>
          <cell r="J68">
            <v>1</v>
          </cell>
          <cell r="K68">
            <v>23078.75</v>
          </cell>
          <cell r="L68">
            <v>23078.75</v>
          </cell>
          <cell r="M68">
            <v>0</v>
          </cell>
          <cell r="N68">
            <v>24192</v>
          </cell>
          <cell r="O68">
            <v>1113.25</v>
          </cell>
          <cell r="P68">
            <v>4.8237014569679902E-2</v>
          </cell>
          <cell r="R68">
            <v>1153597</v>
          </cell>
          <cell r="S68">
            <v>0</v>
          </cell>
          <cell r="T68">
            <v>23079</v>
          </cell>
          <cell r="U68">
            <v>1113</v>
          </cell>
          <cell r="X68">
            <v>0</v>
          </cell>
          <cell r="Z68">
            <v>23079</v>
          </cell>
          <cell r="AB68">
            <v>-0.25</v>
          </cell>
        </row>
        <row r="69">
          <cell r="D69">
            <v>2358</v>
          </cell>
          <cell r="E69" t="str">
            <v>Malin Bridge Primary School</v>
          </cell>
          <cell r="F69">
            <v>10078404</v>
          </cell>
          <cell r="H69">
            <v>2434425</v>
          </cell>
          <cell r="J69">
            <v>1</v>
          </cell>
          <cell r="K69">
            <v>5529.6</v>
          </cell>
          <cell r="L69">
            <v>5529.6</v>
          </cell>
          <cell r="M69">
            <v>0</v>
          </cell>
          <cell r="N69">
            <v>6384.78</v>
          </cell>
          <cell r="O69">
            <v>855.17999999999938</v>
          </cell>
          <cell r="P69">
            <v>0.15465494791666654</v>
          </cell>
          <cell r="R69">
            <v>2434425</v>
          </cell>
          <cell r="S69">
            <v>0</v>
          </cell>
          <cell r="T69">
            <v>28188</v>
          </cell>
          <cell r="U69">
            <v>747.17999999999938</v>
          </cell>
          <cell r="X69">
            <v>0</v>
          </cell>
          <cell r="Z69">
            <v>28188</v>
          </cell>
          <cell r="AB69">
            <v>-22658.400000000001</v>
          </cell>
        </row>
        <row r="70">
          <cell r="D70">
            <v>2359</v>
          </cell>
          <cell r="E70" t="str">
            <v>Manor Lodge Community Primary and Nursery School</v>
          </cell>
          <cell r="F70">
            <v>10061981</v>
          </cell>
          <cell r="H70">
            <v>2173143</v>
          </cell>
          <cell r="J70">
            <v>1</v>
          </cell>
          <cell r="K70">
            <v>3558.3999999999996</v>
          </cell>
          <cell r="L70">
            <v>3558.3999999999996</v>
          </cell>
          <cell r="M70">
            <v>0</v>
          </cell>
          <cell r="N70">
            <v>4092.1599999999994</v>
          </cell>
          <cell r="O70">
            <v>533.75999999999976</v>
          </cell>
          <cell r="P70">
            <v>0.14999999999999994</v>
          </cell>
          <cell r="R70">
            <v>2173143</v>
          </cell>
          <cell r="S70">
            <v>0</v>
          </cell>
          <cell r="T70">
            <v>3558</v>
          </cell>
          <cell r="U70">
            <v>534.1599999999994</v>
          </cell>
          <cell r="X70">
            <v>90</v>
          </cell>
          <cell r="Z70">
            <v>3558</v>
          </cell>
          <cell r="AB70">
            <v>0.3999999999996362</v>
          </cell>
        </row>
        <row r="71">
          <cell r="D71">
            <v>2012</v>
          </cell>
          <cell r="E71" t="str">
            <v>Mansel Primary</v>
          </cell>
          <cell r="F71">
            <v>10039854</v>
          </cell>
          <cell r="H71">
            <v>1954055</v>
          </cell>
          <cell r="J71">
            <v>1</v>
          </cell>
          <cell r="K71">
            <v>4608</v>
          </cell>
          <cell r="L71">
            <v>4608</v>
          </cell>
          <cell r="M71">
            <v>0</v>
          </cell>
          <cell r="N71">
            <v>5323.25</v>
          </cell>
          <cell r="O71">
            <v>715.25</v>
          </cell>
          <cell r="P71">
            <v>0.15521918402777779</v>
          </cell>
          <cell r="R71">
            <v>1954055</v>
          </cell>
          <cell r="S71">
            <v>0</v>
          </cell>
          <cell r="T71">
            <v>4608</v>
          </cell>
          <cell r="U71">
            <v>715.25</v>
          </cell>
          <cell r="X71">
            <v>117</v>
          </cell>
          <cell r="Z71">
            <v>4608</v>
          </cell>
          <cell r="AB71">
            <v>0</v>
          </cell>
        </row>
        <row r="72">
          <cell r="D72">
            <v>2079</v>
          </cell>
          <cell r="E72" t="str">
            <v>Marlcliffe Community Primary School</v>
          </cell>
          <cell r="F72">
            <v>10078407</v>
          </cell>
          <cell r="H72">
            <v>1153645</v>
          </cell>
          <cell r="J72">
            <v>1</v>
          </cell>
          <cell r="K72">
            <v>28160</v>
          </cell>
          <cell r="L72">
            <v>28160</v>
          </cell>
          <cell r="M72">
            <v>0</v>
          </cell>
          <cell r="N72">
            <v>32497.75</v>
          </cell>
          <cell r="O72">
            <v>4337.75</v>
          </cell>
          <cell r="P72">
            <v>0.15403941761363638</v>
          </cell>
          <cell r="R72">
            <v>1153645</v>
          </cell>
          <cell r="S72">
            <v>0</v>
          </cell>
          <cell r="T72">
            <v>28710</v>
          </cell>
          <cell r="U72">
            <v>3787.75</v>
          </cell>
          <cell r="X72">
            <v>0</v>
          </cell>
          <cell r="Z72">
            <v>28710</v>
          </cell>
          <cell r="AB72">
            <v>-550</v>
          </cell>
        </row>
        <row r="73">
          <cell r="D73">
            <v>2081</v>
          </cell>
          <cell r="E73" t="str">
            <v>Meersbrook Bank Primary School</v>
          </cell>
          <cell r="F73">
            <v>10068776</v>
          </cell>
          <cell r="H73">
            <v>1153653</v>
          </cell>
          <cell r="J73">
            <v>1</v>
          </cell>
          <cell r="K73">
            <v>14221.5</v>
          </cell>
          <cell r="L73">
            <v>14221.5</v>
          </cell>
          <cell r="M73">
            <v>0</v>
          </cell>
          <cell r="N73">
            <v>16354.724999999999</v>
          </cell>
          <cell r="O73">
            <v>2133.2249999999985</v>
          </cell>
          <cell r="P73">
            <v>0.14999999999999991</v>
          </cell>
          <cell r="R73">
            <v>1153653</v>
          </cell>
          <cell r="S73">
            <v>0</v>
          </cell>
          <cell r="T73">
            <v>14222</v>
          </cell>
          <cell r="U73">
            <v>2132.7249999999985</v>
          </cell>
          <cell r="X73">
            <v>0</v>
          </cell>
          <cell r="Z73">
            <v>14222</v>
          </cell>
          <cell r="AB73">
            <v>-0.5</v>
          </cell>
        </row>
        <row r="74">
          <cell r="D74">
            <v>2013</v>
          </cell>
          <cell r="E74" t="str">
            <v>Meynell Community Primary School</v>
          </cell>
          <cell r="F74">
            <v>10040589</v>
          </cell>
          <cell r="H74">
            <v>2115577</v>
          </cell>
          <cell r="J74">
            <v>1</v>
          </cell>
          <cell r="K74">
            <v>6144</v>
          </cell>
          <cell r="L74">
            <v>6144</v>
          </cell>
          <cell r="M74">
            <v>0</v>
          </cell>
          <cell r="N74">
            <v>6297.6</v>
          </cell>
          <cell r="O74">
            <v>153.60000000000036</v>
          </cell>
          <cell r="P74">
            <v>2.500000000000006E-2</v>
          </cell>
          <cell r="R74">
            <v>2115577</v>
          </cell>
          <cell r="S74">
            <v>0</v>
          </cell>
          <cell r="T74">
            <v>6144</v>
          </cell>
          <cell r="U74">
            <v>153.60000000000036</v>
          </cell>
          <cell r="X74">
            <v>156</v>
          </cell>
          <cell r="Z74">
            <v>6144</v>
          </cell>
          <cell r="AB74">
            <v>0</v>
          </cell>
        </row>
        <row r="75">
          <cell r="D75">
            <v>2346</v>
          </cell>
          <cell r="E75" t="str">
            <v>Monteney Primary School</v>
          </cell>
          <cell r="F75">
            <v>10041004</v>
          </cell>
          <cell r="H75">
            <v>1954071</v>
          </cell>
          <cell r="J75">
            <v>1</v>
          </cell>
          <cell r="K75">
            <v>5785.5999999999995</v>
          </cell>
          <cell r="L75">
            <v>5785.5999999999995</v>
          </cell>
          <cell r="M75">
            <v>0</v>
          </cell>
          <cell r="N75">
            <v>6679.51</v>
          </cell>
          <cell r="O75">
            <v>893.91000000000076</v>
          </cell>
          <cell r="P75">
            <v>0.15450601493362848</v>
          </cell>
          <cell r="R75">
            <v>1954071</v>
          </cell>
          <cell r="S75">
            <v>0</v>
          </cell>
          <cell r="T75">
            <v>5786</v>
          </cell>
          <cell r="U75">
            <v>893.51000000000022</v>
          </cell>
          <cell r="X75">
            <v>147</v>
          </cell>
          <cell r="Z75">
            <v>5786</v>
          </cell>
          <cell r="AB75">
            <v>-0.4000000000005457</v>
          </cell>
        </row>
        <row r="76">
          <cell r="D76">
            <v>2257</v>
          </cell>
          <cell r="E76" t="str">
            <v>Mosborough Primary School</v>
          </cell>
          <cell r="F76">
            <v>10081265</v>
          </cell>
          <cell r="H76">
            <v>1449247</v>
          </cell>
          <cell r="J76">
            <v>1</v>
          </cell>
          <cell r="K76">
            <v>37376</v>
          </cell>
          <cell r="L76">
            <v>37376</v>
          </cell>
          <cell r="M76">
            <v>0</v>
          </cell>
          <cell r="N76">
            <v>43041.55</v>
          </cell>
          <cell r="O76">
            <v>5665.5500000000029</v>
          </cell>
          <cell r="P76">
            <v>0.15158256635273981</v>
          </cell>
          <cell r="R76">
            <v>1449247</v>
          </cell>
          <cell r="S76">
            <v>0</v>
          </cell>
          <cell r="T76">
            <v>38106</v>
          </cell>
          <cell r="U76">
            <v>4935.5500000000029</v>
          </cell>
          <cell r="X76">
            <v>0</v>
          </cell>
          <cell r="Z76">
            <v>38106</v>
          </cell>
          <cell r="AB76">
            <v>-730</v>
          </cell>
        </row>
        <row r="77">
          <cell r="D77">
            <v>2092</v>
          </cell>
          <cell r="E77" t="str">
            <v>Mundella Primary School</v>
          </cell>
          <cell r="F77">
            <v>10077347</v>
          </cell>
          <cell r="H77">
            <v>1153701</v>
          </cell>
          <cell r="J77">
            <v>1</v>
          </cell>
          <cell r="K77">
            <v>27904</v>
          </cell>
          <cell r="L77">
            <v>27904</v>
          </cell>
          <cell r="M77">
            <v>0</v>
          </cell>
          <cell r="N77">
            <v>32327.83</v>
          </cell>
          <cell r="O77">
            <v>4423.8300000000017</v>
          </cell>
          <cell r="P77">
            <v>0.15853748566513767</v>
          </cell>
          <cell r="R77">
            <v>1153701</v>
          </cell>
          <cell r="S77">
            <v>0</v>
          </cell>
          <cell r="T77">
            <v>28449</v>
          </cell>
          <cell r="U77">
            <v>3878.8300000000017</v>
          </cell>
          <cell r="X77">
            <v>0</v>
          </cell>
          <cell r="Z77">
            <v>28449</v>
          </cell>
          <cell r="AB77">
            <v>-545</v>
          </cell>
        </row>
        <row r="78">
          <cell r="D78">
            <v>2002</v>
          </cell>
          <cell r="E78" t="str">
            <v>Nether Edge Primary School</v>
          </cell>
          <cell r="F78">
            <v>10053774</v>
          </cell>
          <cell r="H78">
            <v>2101822</v>
          </cell>
          <cell r="J78">
            <v>1</v>
          </cell>
          <cell r="K78">
            <v>3942.4</v>
          </cell>
          <cell r="L78">
            <v>3942.4</v>
          </cell>
          <cell r="M78">
            <v>0</v>
          </cell>
          <cell r="N78">
            <v>4577.25</v>
          </cell>
          <cell r="O78">
            <v>634.84999999999991</v>
          </cell>
          <cell r="P78">
            <v>0.16103135146103895</v>
          </cell>
          <cell r="R78">
            <v>2101822</v>
          </cell>
          <cell r="S78">
            <v>0</v>
          </cell>
          <cell r="T78">
            <v>3981.55</v>
          </cell>
          <cell r="U78">
            <v>595.69999999999982</v>
          </cell>
          <cell r="X78">
            <v>140</v>
          </cell>
          <cell r="Z78">
            <v>3981.55</v>
          </cell>
          <cell r="AB78">
            <v>-39.150000000000091</v>
          </cell>
        </row>
        <row r="79">
          <cell r="D79">
            <v>2221</v>
          </cell>
          <cell r="E79" t="str">
            <v>Nether Green Infant School</v>
          </cell>
          <cell r="F79">
            <v>10070911</v>
          </cell>
          <cell r="H79">
            <v>1153726</v>
          </cell>
          <cell r="J79">
            <v>1</v>
          </cell>
          <cell r="K79">
            <v>14595.75</v>
          </cell>
          <cell r="L79">
            <v>14595.75</v>
          </cell>
          <cell r="M79">
            <v>0</v>
          </cell>
          <cell r="N79">
            <v>15488</v>
          </cell>
          <cell r="O79">
            <v>892.25</v>
          </cell>
          <cell r="P79">
            <v>6.1130808625798609E-2</v>
          </cell>
          <cell r="R79">
            <v>1153726</v>
          </cell>
          <cell r="S79">
            <v>0</v>
          </cell>
          <cell r="T79">
            <v>14596</v>
          </cell>
          <cell r="U79">
            <v>892</v>
          </cell>
          <cell r="X79">
            <v>0</v>
          </cell>
          <cell r="Z79">
            <v>14596</v>
          </cell>
          <cell r="AB79">
            <v>-0.25</v>
          </cell>
        </row>
        <row r="80">
          <cell r="D80">
            <v>2087</v>
          </cell>
          <cell r="E80" t="str">
            <v>Nether Green Junior School</v>
          </cell>
          <cell r="F80">
            <v>10077348</v>
          </cell>
          <cell r="H80">
            <v>1153718</v>
          </cell>
          <cell r="J80">
            <v>1</v>
          </cell>
          <cell r="K80">
            <v>21082.75</v>
          </cell>
          <cell r="L80">
            <v>21082.75</v>
          </cell>
          <cell r="M80">
            <v>0</v>
          </cell>
          <cell r="N80">
            <v>24953.66</v>
          </cell>
          <cell r="O80">
            <v>3870.91</v>
          </cell>
          <cell r="P80">
            <v>0.18360555430387401</v>
          </cell>
          <cell r="R80">
            <v>1153718</v>
          </cell>
          <cell r="S80">
            <v>0</v>
          </cell>
          <cell r="T80">
            <v>21083</v>
          </cell>
          <cell r="U80">
            <v>3870.66</v>
          </cell>
          <cell r="X80">
            <v>0</v>
          </cell>
          <cell r="Z80">
            <v>21083</v>
          </cell>
          <cell r="AB80">
            <v>-0.25</v>
          </cell>
        </row>
        <row r="81">
          <cell r="D81">
            <v>2272</v>
          </cell>
          <cell r="E81" t="str">
            <v>Netherthorpe Primary School</v>
          </cell>
          <cell r="F81">
            <v>10075681</v>
          </cell>
          <cell r="H81">
            <v>1784077</v>
          </cell>
          <cell r="I81">
            <v>1784060</v>
          </cell>
          <cell r="J81">
            <v>1</v>
          </cell>
          <cell r="K81">
            <v>19461</v>
          </cell>
          <cell r="L81">
            <v>19461</v>
          </cell>
          <cell r="M81">
            <v>0</v>
          </cell>
          <cell r="N81">
            <v>21956</v>
          </cell>
          <cell r="O81">
            <v>2495</v>
          </cell>
          <cell r="P81">
            <v>0.12820512820512819</v>
          </cell>
          <cell r="R81">
            <v>1784077</v>
          </cell>
          <cell r="S81">
            <v>0</v>
          </cell>
          <cell r="T81">
            <v>19461</v>
          </cell>
          <cell r="U81">
            <v>2495</v>
          </cell>
          <cell r="X81">
            <v>0</v>
          </cell>
          <cell r="Z81">
            <v>19461</v>
          </cell>
          <cell r="AB81">
            <v>0</v>
          </cell>
        </row>
        <row r="82">
          <cell r="D82">
            <v>2309</v>
          </cell>
          <cell r="E82" t="str">
            <v>Nook Lane Junior School</v>
          </cell>
          <cell r="F82">
            <v>10081930</v>
          </cell>
          <cell r="H82">
            <v>2304777</v>
          </cell>
          <cell r="J82">
            <v>1</v>
          </cell>
          <cell r="K82">
            <v>4019.2000000000003</v>
          </cell>
          <cell r="L82">
            <v>4019.2000000000003</v>
          </cell>
          <cell r="M82">
            <v>0</v>
          </cell>
          <cell r="N82">
            <v>4224</v>
          </cell>
          <cell r="O82">
            <v>204.79999999999973</v>
          </cell>
          <cell r="P82">
            <v>5.095541401273878E-2</v>
          </cell>
          <cell r="R82">
            <v>2304777</v>
          </cell>
          <cell r="S82">
            <v>0</v>
          </cell>
          <cell r="T82">
            <v>4019</v>
          </cell>
          <cell r="U82">
            <v>205</v>
          </cell>
          <cell r="X82">
            <v>-254</v>
          </cell>
          <cell r="Z82">
            <v>4019</v>
          </cell>
          <cell r="AB82">
            <v>0.20000000000027285</v>
          </cell>
        </row>
        <row r="83">
          <cell r="D83">
            <v>2051</v>
          </cell>
          <cell r="E83" t="str">
            <v>Norfolk Community Primary School</v>
          </cell>
          <cell r="F83">
            <v>10066310</v>
          </cell>
          <cell r="H83">
            <v>2234890</v>
          </cell>
          <cell r="J83">
            <v>1</v>
          </cell>
          <cell r="K83">
            <v>10956.800000000001</v>
          </cell>
          <cell r="L83">
            <v>10956.800000000001</v>
          </cell>
          <cell r="M83">
            <v>0</v>
          </cell>
          <cell r="N83">
            <v>10854.400000000001</v>
          </cell>
          <cell r="O83">
            <v>-102.39999999999964</v>
          </cell>
          <cell r="P83">
            <v>-9.3457943925233308E-3</v>
          </cell>
          <cell r="R83">
            <v>2234890</v>
          </cell>
          <cell r="S83">
            <v>0</v>
          </cell>
          <cell r="T83">
            <v>10957</v>
          </cell>
          <cell r="U83">
            <v>-102.59999999999854</v>
          </cell>
          <cell r="X83">
            <v>278</v>
          </cell>
          <cell r="Z83">
            <v>10957</v>
          </cell>
          <cell r="AB83">
            <v>-0.19999999999890861</v>
          </cell>
        </row>
        <row r="84">
          <cell r="D84">
            <v>3010</v>
          </cell>
          <cell r="E84" t="str">
            <v>Norton Free Church of England Primary School</v>
          </cell>
          <cell r="F84">
            <v>10068646</v>
          </cell>
          <cell r="H84">
            <v>1784093</v>
          </cell>
          <cell r="J84">
            <v>1</v>
          </cell>
          <cell r="K84">
            <v>4582.3999999999996</v>
          </cell>
          <cell r="L84">
            <v>4582.3999999999996</v>
          </cell>
          <cell r="M84">
            <v>0</v>
          </cell>
          <cell r="N84">
            <v>5276.36</v>
          </cell>
          <cell r="O84">
            <v>693.96</v>
          </cell>
          <cell r="P84">
            <v>0.15144029329608941</v>
          </cell>
          <cell r="R84">
            <v>1784093</v>
          </cell>
          <cell r="S84">
            <v>0</v>
          </cell>
          <cell r="T84">
            <v>4466</v>
          </cell>
          <cell r="U84">
            <v>810.35999999999967</v>
          </cell>
          <cell r="X84">
            <v>0</v>
          </cell>
          <cell r="Z84">
            <v>4466</v>
          </cell>
          <cell r="AB84">
            <v>116.39999999999964</v>
          </cell>
        </row>
        <row r="85">
          <cell r="D85">
            <v>2018</v>
          </cell>
          <cell r="E85" t="str">
            <v>Oasis Academy Fir Vale</v>
          </cell>
          <cell r="F85">
            <v>10046544</v>
          </cell>
          <cell r="H85">
            <v>2047886</v>
          </cell>
          <cell r="J85">
            <v>1</v>
          </cell>
          <cell r="K85">
            <v>7372.7999999999993</v>
          </cell>
          <cell r="L85">
            <v>7372.7999999999993</v>
          </cell>
          <cell r="M85">
            <v>0</v>
          </cell>
          <cell r="N85">
            <v>9668.8799999999992</v>
          </cell>
          <cell r="O85">
            <v>2296.08</v>
          </cell>
          <cell r="P85">
            <v>0.31142578125000003</v>
          </cell>
          <cell r="R85">
            <v>2047886</v>
          </cell>
          <cell r="S85">
            <v>0</v>
          </cell>
          <cell r="T85">
            <v>7373</v>
          </cell>
          <cell r="U85">
            <v>2295.8799999999992</v>
          </cell>
          <cell r="X85">
            <v>-642</v>
          </cell>
          <cell r="Z85">
            <v>7373</v>
          </cell>
          <cell r="AB85">
            <v>-0.2000000000007276</v>
          </cell>
        </row>
        <row r="86">
          <cell r="D86">
            <v>2019</v>
          </cell>
          <cell r="E86" t="str">
            <v>Oasis Academy Watermead</v>
          </cell>
          <cell r="F86">
            <v>10046545</v>
          </cell>
          <cell r="H86">
            <v>2041672</v>
          </cell>
          <cell r="J86">
            <v>1</v>
          </cell>
          <cell r="K86">
            <v>10547.2</v>
          </cell>
          <cell r="L86">
            <v>10547.2</v>
          </cell>
          <cell r="M86">
            <v>0</v>
          </cell>
          <cell r="N86">
            <v>12800</v>
          </cell>
          <cell r="O86">
            <v>2252.7999999999993</v>
          </cell>
          <cell r="P86">
            <v>0.21359223300970864</v>
          </cell>
          <cell r="R86">
            <v>2041672</v>
          </cell>
          <cell r="S86">
            <v>0</v>
          </cell>
          <cell r="T86">
            <v>10547</v>
          </cell>
          <cell r="U86">
            <v>2253</v>
          </cell>
          <cell r="X86">
            <v>-339</v>
          </cell>
          <cell r="Z86">
            <v>10547</v>
          </cell>
          <cell r="AB86">
            <v>0.2000000000007276</v>
          </cell>
        </row>
        <row r="87">
          <cell r="D87">
            <v>2313</v>
          </cell>
          <cell r="E87" t="str">
            <v>Oughtibridge Primary School</v>
          </cell>
          <cell r="F87">
            <v>10081931</v>
          </cell>
          <cell r="H87">
            <v>2304785</v>
          </cell>
          <cell r="J87">
            <v>1</v>
          </cell>
          <cell r="K87">
            <v>6656</v>
          </cell>
          <cell r="L87">
            <v>6656</v>
          </cell>
          <cell r="M87">
            <v>0</v>
          </cell>
          <cell r="N87">
            <v>6809.6</v>
          </cell>
          <cell r="O87">
            <v>153.60000000000036</v>
          </cell>
          <cell r="P87">
            <v>2.307692307692313E-2</v>
          </cell>
          <cell r="R87">
            <v>2304785</v>
          </cell>
          <cell r="S87">
            <v>0</v>
          </cell>
          <cell r="T87">
            <v>6656</v>
          </cell>
          <cell r="U87">
            <v>153.60000000000036</v>
          </cell>
          <cell r="X87">
            <v>-747</v>
          </cell>
          <cell r="Z87">
            <v>6656</v>
          </cell>
          <cell r="AB87">
            <v>0</v>
          </cell>
        </row>
        <row r="88">
          <cell r="D88">
            <v>2093</v>
          </cell>
          <cell r="E88" t="str">
            <v>Owler Brook Primary School</v>
          </cell>
          <cell r="F88">
            <v>10085573</v>
          </cell>
          <cell r="H88">
            <v>2371375</v>
          </cell>
          <cell r="J88">
            <v>1</v>
          </cell>
          <cell r="K88">
            <v>10342.4</v>
          </cell>
          <cell r="L88">
            <v>10342.4</v>
          </cell>
          <cell r="M88">
            <v>0</v>
          </cell>
          <cell r="N88">
            <v>11366.400000000001</v>
          </cell>
          <cell r="O88">
            <v>1024.0000000000018</v>
          </cell>
          <cell r="P88">
            <v>9.9009900990099195E-2</v>
          </cell>
          <cell r="R88">
            <v>2371375</v>
          </cell>
          <cell r="S88">
            <v>0</v>
          </cell>
          <cell r="T88">
            <v>10342</v>
          </cell>
          <cell r="U88">
            <v>1024.4000000000015</v>
          </cell>
          <cell r="X88">
            <v>-202</v>
          </cell>
          <cell r="Z88">
            <v>10342</v>
          </cell>
          <cell r="AB88">
            <v>0.3999999999996362</v>
          </cell>
        </row>
        <row r="89">
          <cell r="D89">
            <v>3428</v>
          </cell>
          <cell r="E89" t="str">
            <v>Parson Cross Church of England Primary School</v>
          </cell>
          <cell r="F89">
            <v>10068645</v>
          </cell>
          <cell r="H89">
            <v>1869338</v>
          </cell>
          <cell r="J89">
            <v>1</v>
          </cell>
          <cell r="K89">
            <v>4096</v>
          </cell>
          <cell r="L89">
            <v>4096</v>
          </cell>
          <cell r="M89">
            <v>0</v>
          </cell>
          <cell r="N89">
            <v>4720.8</v>
          </cell>
          <cell r="O89">
            <v>624.80000000000018</v>
          </cell>
          <cell r="P89">
            <v>0.15253906250000004</v>
          </cell>
          <cell r="R89">
            <v>1869338</v>
          </cell>
          <cell r="S89">
            <v>0</v>
          </cell>
          <cell r="T89">
            <v>3892</v>
          </cell>
          <cell r="U89">
            <v>828.80000000000018</v>
          </cell>
          <cell r="X89">
            <v>0</v>
          </cell>
          <cell r="Z89">
            <v>3892</v>
          </cell>
          <cell r="AB89">
            <v>204</v>
          </cell>
        </row>
        <row r="90">
          <cell r="D90">
            <v>2332</v>
          </cell>
          <cell r="E90" t="str">
            <v>Phillimore Community Primary School</v>
          </cell>
          <cell r="F90">
            <v>10061989</v>
          </cell>
          <cell r="H90">
            <v>2173127</v>
          </cell>
          <cell r="J90">
            <v>1</v>
          </cell>
          <cell r="K90">
            <v>4889.5999999999995</v>
          </cell>
          <cell r="L90">
            <v>4889.5999999999995</v>
          </cell>
          <cell r="M90">
            <v>0</v>
          </cell>
          <cell r="N90">
            <v>5638.87</v>
          </cell>
          <cell r="O90">
            <v>749.27000000000044</v>
          </cell>
          <cell r="P90">
            <v>0.15323748363874357</v>
          </cell>
          <cell r="R90">
            <v>2173127</v>
          </cell>
          <cell r="S90">
            <v>0</v>
          </cell>
          <cell r="T90">
            <v>7890</v>
          </cell>
          <cell r="U90">
            <v>-2251.13</v>
          </cell>
          <cell r="X90">
            <v>3125</v>
          </cell>
          <cell r="Z90">
            <v>7890</v>
          </cell>
          <cell r="AB90">
            <v>-3000.4000000000005</v>
          </cell>
        </row>
        <row r="91">
          <cell r="D91">
            <v>3433</v>
          </cell>
          <cell r="E91" t="str">
            <v>Pipworth Community Primary School</v>
          </cell>
          <cell r="F91">
            <v>10076645</v>
          </cell>
          <cell r="H91">
            <v>1810758</v>
          </cell>
          <cell r="J91">
            <v>1</v>
          </cell>
          <cell r="K91">
            <v>27648</v>
          </cell>
          <cell r="L91">
            <v>30464</v>
          </cell>
          <cell r="M91">
            <v>2816</v>
          </cell>
          <cell r="N91">
            <v>35047.58</v>
          </cell>
          <cell r="O91">
            <v>4583.5800000000017</v>
          </cell>
          <cell r="P91">
            <v>0.15045890231092443</v>
          </cell>
          <cell r="R91">
            <v>1810758</v>
          </cell>
          <cell r="S91">
            <v>0</v>
          </cell>
          <cell r="T91">
            <v>26697</v>
          </cell>
          <cell r="U91">
            <v>8350.5800000000017</v>
          </cell>
          <cell r="X91">
            <v>0</v>
          </cell>
          <cell r="Z91">
            <v>26697</v>
          </cell>
          <cell r="AB91">
            <v>3767</v>
          </cell>
        </row>
        <row r="92">
          <cell r="D92">
            <v>3427</v>
          </cell>
          <cell r="E92" t="str">
            <v>Porter Croft Church of England Primary Academy</v>
          </cell>
          <cell r="F92">
            <v>10042610</v>
          </cell>
          <cell r="H92">
            <v>1974532</v>
          </cell>
          <cell r="J92">
            <v>1</v>
          </cell>
          <cell r="K92">
            <v>2636.8</v>
          </cell>
          <cell r="L92">
            <v>2636.8</v>
          </cell>
          <cell r="M92">
            <v>0</v>
          </cell>
          <cell r="N92">
            <v>3045.68</v>
          </cell>
          <cell r="O92">
            <v>408.87999999999965</v>
          </cell>
          <cell r="P92">
            <v>0.15506674757281538</v>
          </cell>
          <cell r="R92">
            <v>1974532</v>
          </cell>
          <cell r="S92">
            <v>0</v>
          </cell>
          <cell r="T92">
            <v>2637</v>
          </cell>
          <cell r="U92">
            <v>408.67999999999984</v>
          </cell>
          <cell r="X92">
            <v>67</v>
          </cell>
          <cell r="Z92">
            <v>2637</v>
          </cell>
          <cell r="AB92">
            <v>-0.1999999999998181</v>
          </cell>
        </row>
        <row r="93">
          <cell r="D93">
            <v>2347</v>
          </cell>
          <cell r="E93" t="str">
            <v>Prince Edward Primary School</v>
          </cell>
          <cell r="F93">
            <v>10075676</v>
          </cell>
          <cell r="H93">
            <v>2104633</v>
          </cell>
          <cell r="J93">
            <v>1</v>
          </cell>
          <cell r="K93">
            <v>49664</v>
          </cell>
          <cell r="L93">
            <v>49664</v>
          </cell>
          <cell r="M93">
            <v>0</v>
          </cell>
          <cell r="N93">
            <v>64652.9</v>
          </cell>
          <cell r="O93">
            <v>14988.900000000001</v>
          </cell>
          <cell r="P93">
            <v>0.30180613724226807</v>
          </cell>
          <cell r="R93">
            <v>2104633</v>
          </cell>
          <cell r="S93">
            <v>0</v>
          </cell>
          <cell r="T93">
            <v>48403</v>
          </cell>
          <cell r="U93">
            <v>16249.900000000001</v>
          </cell>
          <cell r="X93">
            <v>0</v>
          </cell>
          <cell r="Z93">
            <v>48403</v>
          </cell>
          <cell r="AB93">
            <v>1261</v>
          </cell>
        </row>
        <row r="94">
          <cell r="D94">
            <v>2366</v>
          </cell>
          <cell r="E94" t="str">
            <v>Pye Bank CofE Primary School</v>
          </cell>
          <cell r="F94">
            <v>10083656</v>
          </cell>
          <cell r="H94">
            <v>2325586</v>
          </cell>
          <cell r="J94">
            <v>1</v>
          </cell>
          <cell r="K94">
            <v>9881.6</v>
          </cell>
          <cell r="L94">
            <v>9881.6</v>
          </cell>
          <cell r="M94">
            <v>0</v>
          </cell>
          <cell r="N94">
            <v>12185.6</v>
          </cell>
          <cell r="O94">
            <v>2304</v>
          </cell>
          <cell r="P94">
            <v>0.23316062176165803</v>
          </cell>
          <cell r="R94">
            <v>2325586</v>
          </cell>
          <cell r="S94">
            <v>0</v>
          </cell>
          <cell r="T94">
            <v>9882</v>
          </cell>
          <cell r="U94">
            <v>2303.6000000000004</v>
          </cell>
          <cell r="X94">
            <v>-3551</v>
          </cell>
          <cell r="Z94">
            <v>9882</v>
          </cell>
          <cell r="AB94">
            <v>-0.3999999999996362</v>
          </cell>
        </row>
        <row r="95">
          <cell r="D95">
            <v>2363</v>
          </cell>
          <cell r="E95" t="str">
            <v>Rainbow Forge Primary Academy</v>
          </cell>
          <cell r="F95">
            <v>10062548</v>
          </cell>
          <cell r="H95">
            <v>2175963</v>
          </cell>
          <cell r="J95">
            <v>1</v>
          </cell>
          <cell r="K95">
            <v>4172.7999999999993</v>
          </cell>
          <cell r="L95">
            <v>4172.7999999999993</v>
          </cell>
          <cell r="M95">
            <v>0</v>
          </cell>
          <cell r="N95">
            <v>4809.4799999999996</v>
          </cell>
          <cell r="O95">
            <v>636.68000000000029</v>
          </cell>
          <cell r="P95">
            <v>0.15257860429447861</v>
          </cell>
          <cell r="R95">
            <v>2175963</v>
          </cell>
          <cell r="S95">
            <v>0</v>
          </cell>
          <cell r="T95">
            <v>4173</v>
          </cell>
          <cell r="U95">
            <v>636.47999999999956</v>
          </cell>
          <cell r="X95">
            <v>106</v>
          </cell>
          <cell r="Z95">
            <v>4173</v>
          </cell>
          <cell r="AB95">
            <v>-0.2000000000007276</v>
          </cell>
        </row>
        <row r="96">
          <cell r="D96">
            <v>2334</v>
          </cell>
          <cell r="E96" t="str">
            <v>Reignhead Primary School</v>
          </cell>
          <cell r="F96">
            <v>10075679</v>
          </cell>
          <cell r="H96">
            <v>1153912</v>
          </cell>
          <cell r="J96">
            <v>1</v>
          </cell>
          <cell r="K96">
            <v>31232</v>
          </cell>
          <cell r="L96">
            <v>31232</v>
          </cell>
          <cell r="M96">
            <v>0</v>
          </cell>
          <cell r="N96">
            <v>35072</v>
          </cell>
          <cell r="O96">
            <v>3840</v>
          </cell>
          <cell r="P96">
            <v>0.12295081967213115</v>
          </cell>
          <cell r="R96">
            <v>1153912</v>
          </cell>
          <cell r="S96">
            <v>0</v>
          </cell>
          <cell r="T96">
            <v>31842</v>
          </cell>
          <cell r="U96">
            <v>3230</v>
          </cell>
          <cell r="X96">
            <v>0</v>
          </cell>
          <cell r="Z96">
            <v>31842</v>
          </cell>
          <cell r="AB96">
            <v>-610</v>
          </cell>
        </row>
        <row r="97">
          <cell r="D97">
            <v>2338</v>
          </cell>
          <cell r="E97" t="str">
            <v>Rivelin Primary School</v>
          </cell>
          <cell r="F97">
            <v>10075678</v>
          </cell>
          <cell r="H97">
            <v>1153927</v>
          </cell>
          <cell r="J97">
            <v>1</v>
          </cell>
          <cell r="K97">
            <v>23577.75</v>
          </cell>
          <cell r="L97">
            <v>23577.75</v>
          </cell>
          <cell r="M97">
            <v>0</v>
          </cell>
          <cell r="N97">
            <v>27114.412499999999</v>
          </cell>
          <cell r="O97">
            <v>3536.6624999999985</v>
          </cell>
          <cell r="P97">
            <v>0.14999999999999994</v>
          </cell>
          <cell r="R97">
            <v>1153927</v>
          </cell>
          <cell r="S97">
            <v>0</v>
          </cell>
          <cell r="T97">
            <v>23578</v>
          </cell>
          <cell r="U97">
            <v>3536.4124999999985</v>
          </cell>
          <cell r="X97">
            <v>0</v>
          </cell>
          <cell r="Z97">
            <v>23578</v>
          </cell>
          <cell r="AB97">
            <v>-0.25</v>
          </cell>
        </row>
        <row r="98">
          <cell r="D98">
            <v>2306</v>
          </cell>
          <cell r="E98" t="str">
            <v>Royd Nursery and Infant School</v>
          </cell>
          <cell r="F98">
            <v>10070905</v>
          </cell>
          <cell r="H98">
            <v>1153945</v>
          </cell>
          <cell r="J98">
            <v>1</v>
          </cell>
          <cell r="K98">
            <v>14595.75</v>
          </cell>
          <cell r="L98">
            <v>14595.75</v>
          </cell>
          <cell r="M98">
            <v>0</v>
          </cell>
          <cell r="N98">
            <v>13440</v>
          </cell>
          <cell r="O98">
            <v>-1155.75</v>
          </cell>
          <cell r="P98">
            <v>-7.9184009043728479E-2</v>
          </cell>
          <cell r="R98">
            <v>1153945</v>
          </cell>
          <cell r="S98">
            <v>0</v>
          </cell>
          <cell r="T98">
            <v>14596</v>
          </cell>
          <cell r="U98">
            <v>-1156</v>
          </cell>
          <cell r="X98">
            <v>0</v>
          </cell>
          <cell r="Z98">
            <v>14596</v>
          </cell>
          <cell r="AB98">
            <v>-0.25</v>
          </cell>
        </row>
        <row r="99">
          <cell r="D99">
            <v>3401</v>
          </cell>
          <cell r="E99" t="str">
            <v>Sacred Heart School, A Catholic Voluntary Academy</v>
          </cell>
          <cell r="F99">
            <v>10044276</v>
          </cell>
          <cell r="G99">
            <v>1993884</v>
          </cell>
          <cell r="H99">
            <v>2467352</v>
          </cell>
          <cell r="J99">
            <v>1</v>
          </cell>
          <cell r="K99">
            <v>3660.7999999999997</v>
          </cell>
          <cell r="L99">
            <v>3660.7999999999997</v>
          </cell>
          <cell r="M99">
            <v>0</v>
          </cell>
          <cell r="N99">
            <v>4219.38</v>
          </cell>
          <cell r="O99">
            <v>558.58000000000038</v>
          </cell>
          <cell r="P99">
            <v>0.15258413461538473</v>
          </cell>
          <cell r="R99" t="e">
            <v>#N/A</v>
          </cell>
          <cell r="S99" t="e">
            <v>#N/A</v>
          </cell>
          <cell r="T99">
            <v>3661</v>
          </cell>
          <cell r="U99">
            <v>558.38000000000011</v>
          </cell>
          <cell r="X99">
            <v>93</v>
          </cell>
          <cell r="Z99">
            <v>3661</v>
          </cell>
          <cell r="AB99">
            <v>-0.20000000000027285</v>
          </cell>
        </row>
        <row r="100">
          <cell r="D100">
            <v>2369</v>
          </cell>
          <cell r="E100" t="str">
            <v>Sharrow Nursery, Infant and Junior School</v>
          </cell>
          <cell r="F100">
            <v>10076651</v>
          </cell>
          <cell r="H100">
            <v>1654760</v>
          </cell>
          <cell r="J100">
            <v>1</v>
          </cell>
          <cell r="K100">
            <v>51712</v>
          </cell>
          <cell r="L100">
            <v>51712</v>
          </cell>
          <cell r="M100">
            <v>0</v>
          </cell>
          <cell r="N100">
            <v>59392</v>
          </cell>
          <cell r="O100">
            <v>7680</v>
          </cell>
          <cell r="P100">
            <v>0.14851485148514851</v>
          </cell>
          <cell r="R100">
            <v>1654760</v>
          </cell>
          <cell r="S100">
            <v>0</v>
          </cell>
          <cell r="T100">
            <v>51939</v>
          </cell>
          <cell r="U100">
            <v>7453</v>
          </cell>
          <cell r="X100">
            <v>0</v>
          </cell>
          <cell r="Z100">
            <v>51939</v>
          </cell>
          <cell r="AB100">
            <v>-227</v>
          </cell>
        </row>
        <row r="101">
          <cell r="D101">
            <v>2349</v>
          </cell>
          <cell r="E101" t="str">
            <v>Shooter's Grove Primary School</v>
          </cell>
          <cell r="F101">
            <v>10075675</v>
          </cell>
          <cell r="H101">
            <v>1154188</v>
          </cell>
          <cell r="J101">
            <v>1</v>
          </cell>
          <cell r="K101">
            <v>26880</v>
          </cell>
          <cell r="L101">
            <v>26880</v>
          </cell>
          <cell r="M101">
            <v>0</v>
          </cell>
          <cell r="N101">
            <v>30933.13</v>
          </cell>
          <cell r="O101">
            <v>4053.130000000001</v>
          </cell>
          <cell r="P101">
            <v>0.15078608630952384</v>
          </cell>
          <cell r="R101">
            <v>1154188</v>
          </cell>
          <cell r="S101">
            <v>0</v>
          </cell>
          <cell r="T101">
            <v>27405</v>
          </cell>
          <cell r="U101">
            <v>3528.130000000001</v>
          </cell>
          <cell r="X101">
            <v>0</v>
          </cell>
          <cell r="Z101">
            <v>27405</v>
          </cell>
          <cell r="AB101">
            <v>-525</v>
          </cell>
        </row>
        <row r="102">
          <cell r="D102">
            <v>2360</v>
          </cell>
          <cell r="E102" t="str">
            <v>Shortbrook Primary School</v>
          </cell>
          <cell r="F102">
            <v>10078403</v>
          </cell>
          <cell r="H102">
            <v>1154196</v>
          </cell>
          <cell r="J102">
            <v>1</v>
          </cell>
          <cell r="K102">
            <v>13972</v>
          </cell>
          <cell r="L102">
            <v>13972</v>
          </cell>
          <cell r="M102">
            <v>0</v>
          </cell>
          <cell r="N102">
            <v>10624</v>
          </cell>
          <cell r="O102">
            <v>-3348</v>
          </cell>
          <cell r="P102">
            <v>-0.23962210134554823</v>
          </cell>
          <cell r="R102">
            <v>1154196</v>
          </cell>
          <cell r="S102">
            <v>0</v>
          </cell>
          <cell r="T102">
            <v>13972</v>
          </cell>
          <cell r="U102">
            <v>-3348</v>
          </cell>
          <cell r="X102">
            <v>0</v>
          </cell>
          <cell r="Z102">
            <v>13972</v>
          </cell>
          <cell r="AB102">
            <v>0</v>
          </cell>
        </row>
        <row r="103">
          <cell r="D103">
            <v>2009</v>
          </cell>
          <cell r="E103" t="str">
            <v>Southey Green Primary School and Nurseries</v>
          </cell>
          <cell r="F103">
            <v>10039913</v>
          </cell>
          <cell r="H103">
            <v>1940122</v>
          </cell>
          <cell r="I103">
            <v>1942156</v>
          </cell>
          <cell r="J103">
            <v>1</v>
          </cell>
          <cell r="K103">
            <v>10741.76</v>
          </cell>
          <cell r="L103">
            <v>10741.76</v>
          </cell>
          <cell r="M103">
            <v>0</v>
          </cell>
          <cell r="N103">
            <v>13500.140000000001</v>
          </cell>
          <cell r="O103">
            <v>2758.380000000001</v>
          </cell>
          <cell r="P103">
            <v>0.25679032113918027</v>
          </cell>
          <cell r="R103">
            <v>1940122</v>
          </cell>
          <cell r="S103">
            <v>0</v>
          </cell>
          <cell r="T103">
            <v>10742</v>
          </cell>
          <cell r="U103">
            <v>2758.1400000000012</v>
          </cell>
          <cell r="X103">
            <v>-171</v>
          </cell>
          <cell r="Z103">
            <v>10742</v>
          </cell>
          <cell r="AB103">
            <v>-0.23999999999978172</v>
          </cell>
        </row>
        <row r="104">
          <cell r="D104">
            <v>2329</v>
          </cell>
          <cell r="E104" t="str">
            <v>Springfield Primary School</v>
          </cell>
          <cell r="F104">
            <v>10068775</v>
          </cell>
          <cell r="H104">
            <v>1154228</v>
          </cell>
          <cell r="J104">
            <v>1</v>
          </cell>
          <cell r="K104">
            <v>14096.75</v>
          </cell>
          <cell r="L104">
            <v>14096.75</v>
          </cell>
          <cell r="M104">
            <v>0</v>
          </cell>
          <cell r="N104">
            <v>16211.262499999999</v>
          </cell>
          <cell r="O104">
            <v>2114.5124999999989</v>
          </cell>
          <cell r="P104">
            <v>0.14999999999999991</v>
          </cell>
          <cell r="R104">
            <v>1154228</v>
          </cell>
          <cell r="S104">
            <v>0</v>
          </cell>
          <cell r="T104">
            <v>14097</v>
          </cell>
          <cell r="U104">
            <v>2114.2624999999989</v>
          </cell>
          <cell r="X104">
            <v>0</v>
          </cell>
          <cell r="Z104">
            <v>14097</v>
          </cell>
          <cell r="AB104">
            <v>-0.25</v>
          </cell>
        </row>
        <row r="105">
          <cell r="D105">
            <v>5202</v>
          </cell>
          <cell r="E105" t="str">
            <v>St Ann's Catholic Primary School, A Voluntary Academy</v>
          </cell>
          <cell r="F105">
            <v>10044275</v>
          </cell>
          <cell r="G105">
            <v>1993924</v>
          </cell>
          <cell r="H105">
            <v>2467474</v>
          </cell>
          <cell r="J105">
            <v>1</v>
          </cell>
          <cell r="K105">
            <v>2252.8000000000002</v>
          </cell>
          <cell r="L105">
            <v>2252.8000000000002</v>
          </cell>
          <cell r="M105">
            <v>0</v>
          </cell>
          <cell r="N105">
            <v>2176</v>
          </cell>
          <cell r="O105">
            <v>-76.800000000000182</v>
          </cell>
          <cell r="P105">
            <v>-3.4090909090909172E-2</v>
          </cell>
          <cell r="R105" t="e">
            <v>#N/A</v>
          </cell>
          <cell r="S105" t="e">
            <v>#N/A</v>
          </cell>
          <cell r="T105">
            <v>2253</v>
          </cell>
          <cell r="U105">
            <v>-77</v>
          </cell>
          <cell r="X105">
            <v>57</v>
          </cell>
          <cell r="Z105">
            <v>2253</v>
          </cell>
          <cell r="AB105">
            <v>-0.1999999999998181</v>
          </cell>
        </row>
        <row r="106">
          <cell r="D106">
            <v>3402</v>
          </cell>
          <cell r="E106" t="str">
            <v>St Catherine's Catholic Primary School (Hallam)</v>
          </cell>
          <cell r="F106">
            <v>10044815</v>
          </cell>
          <cell r="G106">
            <v>2002954</v>
          </cell>
          <cell r="H106">
            <v>2467530</v>
          </cell>
          <cell r="J106">
            <v>1</v>
          </cell>
          <cell r="K106">
            <v>8806.4</v>
          </cell>
          <cell r="L106">
            <v>8806.4</v>
          </cell>
          <cell r="M106">
            <v>0</v>
          </cell>
          <cell r="N106">
            <v>9881.6</v>
          </cell>
          <cell r="O106">
            <v>1075.2000000000007</v>
          </cell>
          <cell r="P106">
            <v>0.12209302325581405</v>
          </cell>
          <cell r="R106" t="e">
            <v>#N/A</v>
          </cell>
          <cell r="S106" t="e">
            <v>#N/A</v>
          </cell>
          <cell r="T106">
            <v>8806</v>
          </cell>
          <cell r="U106">
            <v>1075.6000000000004</v>
          </cell>
          <cell r="X106">
            <v>223</v>
          </cell>
          <cell r="Z106">
            <v>8806</v>
          </cell>
          <cell r="AB106">
            <v>0.3999999999996362</v>
          </cell>
        </row>
        <row r="107">
          <cell r="D107">
            <v>2017</v>
          </cell>
          <cell r="E107" t="str">
            <v>St John Fisher Primary, A Catholic Voluntary Academy</v>
          </cell>
          <cell r="F107">
            <v>10042937</v>
          </cell>
          <cell r="G107">
            <v>1993916</v>
          </cell>
          <cell r="H107">
            <v>2467482</v>
          </cell>
          <cell r="J107">
            <v>1</v>
          </cell>
          <cell r="K107">
            <v>3251.2</v>
          </cell>
          <cell r="L107">
            <v>3251.2</v>
          </cell>
          <cell r="M107">
            <v>0</v>
          </cell>
          <cell r="N107">
            <v>3750.55</v>
          </cell>
          <cell r="O107">
            <v>499.35000000000036</v>
          </cell>
          <cell r="P107">
            <v>0.15358944389763793</v>
          </cell>
          <cell r="R107" t="e">
            <v>#N/A</v>
          </cell>
          <cell r="S107" t="e">
            <v>#N/A</v>
          </cell>
          <cell r="T107">
            <v>3251</v>
          </cell>
          <cell r="U107">
            <v>499.55000000000018</v>
          </cell>
          <cell r="X107">
            <v>82</v>
          </cell>
          <cell r="Z107">
            <v>3251</v>
          </cell>
          <cell r="AB107">
            <v>0.1999999999998181</v>
          </cell>
        </row>
        <row r="108">
          <cell r="D108">
            <v>5203</v>
          </cell>
          <cell r="E108" t="str">
            <v>St Joseph's Primary School</v>
          </cell>
          <cell r="F108">
            <v>10040311</v>
          </cell>
          <cell r="H108">
            <v>1998452</v>
          </cell>
          <cell r="J108">
            <v>1</v>
          </cell>
          <cell r="K108">
            <v>3046.3999999999996</v>
          </cell>
          <cell r="L108">
            <v>3046.3999999999996</v>
          </cell>
          <cell r="M108">
            <v>0</v>
          </cell>
          <cell r="N108">
            <v>3509.96</v>
          </cell>
          <cell r="O108">
            <v>463.5600000000004</v>
          </cell>
          <cell r="P108">
            <v>0.15216649159663881</v>
          </cell>
          <cell r="R108">
            <v>1998452</v>
          </cell>
          <cell r="S108">
            <v>0</v>
          </cell>
          <cell r="T108">
            <v>3046</v>
          </cell>
          <cell r="U108">
            <v>463.96000000000004</v>
          </cell>
          <cell r="X108">
            <v>77</v>
          </cell>
          <cell r="Z108">
            <v>3046</v>
          </cell>
          <cell r="AB108">
            <v>0.3999999999996362</v>
          </cell>
        </row>
        <row r="109">
          <cell r="D109">
            <v>3406</v>
          </cell>
          <cell r="E109" t="str">
            <v>St Marie's School, A Catholic Voluntary Academy</v>
          </cell>
          <cell r="F109">
            <v>10038853</v>
          </cell>
          <cell r="G109">
            <v>1154058</v>
          </cell>
          <cell r="H109">
            <v>2467393</v>
          </cell>
          <cell r="J109">
            <v>1</v>
          </cell>
          <cell r="K109">
            <v>4915.2</v>
          </cell>
          <cell r="L109">
            <v>4915.2</v>
          </cell>
          <cell r="M109">
            <v>0</v>
          </cell>
          <cell r="N109">
            <v>5068.8</v>
          </cell>
          <cell r="O109">
            <v>153.60000000000036</v>
          </cell>
          <cell r="P109">
            <v>3.1250000000000076E-2</v>
          </cell>
          <cell r="R109" t="e">
            <v>#N/A</v>
          </cell>
          <cell r="S109" t="e">
            <v>#N/A</v>
          </cell>
          <cell r="T109">
            <v>4915</v>
          </cell>
          <cell r="U109">
            <v>153.80000000000018</v>
          </cell>
          <cell r="X109">
            <v>125</v>
          </cell>
          <cell r="Z109">
            <v>4915</v>
          </cell>
          <cell r="AB109">
            <v>0.1999999999998181</v>
          </cell>
        </row>
        <row r="110">
          <cell r="D110">
            <v>2020</v>
          </cell>
          <cell r="E110" t="str">
            <v>St Mary's Church of England Primary School</v>
          </cell>
          <cell r="F110">
            <v>10044070</v>
          </cell>
          <cell r="H110">
            <v>2040554</v>
          </cell>
          <cell r="J110">
            <v>1</v>
          </cell>
          <cell r="K110">
            <v>2457.6</v>
          </cell>
          <cell r="L110">
            <v>2457.6</v>
          </cell>
          <cell r="M110">
            <v>0</v>
          </cell>
          <cell r="N110">
            <v>2848.73</v>
          </cell>
          <cell r="O110">
            <v>391.13000000000011</v>
          </cell>
          <cell r="P110">
            <v>0.15915120442708339</v>
          </cell>
          <cell r="R110">
            <v>2040554</v>
          </cell>
          <cell r="S110">
            <v>0</v>
          </cell>
          <cell r="T110">
            <v>2457</v>
          </cell>
          <cell r="U110">
            <v>391.73</v>
          </cell>
          <cell r="X110">
            <v>62</v>
          </cell>
          <cell r="Z110">
            <v>2457</v>
          </cell>
          <cell r="AB110">
            <v>0.59999999999990905</v>
          </cell>
        </row>
        <row r="111">
          <cell r="D111">
            <v>3423</v>
          </cell>
          <cell r="E111" t="str">
            <v>St Mary's Primary School, A Catholic Voluntary Academy</v>
          </cell>
          <cell r="F111">
            <v>10044272</v>
          </cell>
          <cell r="G111">
            <v>1993827</v>
          </cell>
          <cell r="H111">
            <v>2467490</v>
          </cell>
          <cell r="J111">
            <v>1</v>
          </cell>
          <cell r="K111">
            <v>3532.7999999999997</v>
          </cell>
          <cell r="L111">
            <v>3532.7999999999997</v>
          </cell>
          <cell r="M111">
            <v>0</v>
          </cell>
          <cell r="N111">
            <v>4068.12</v>
          </cell>
          <cell r="O111">
            <v>535.32000000000016</v>
          </cell>
          <cell r="P111">
            <v>0.1515285326086957</v>
          </cell>
          <cell r="R111" t="e">
            <v>#N/A</v>
          </cell>
          <cell r="S111" t="e">
            <v>#N/A</v>
          </cell>
          <cell r="T111">
            <v>3533</v>
          </cell>
          <cell r="U111">
            <v>535.11999999999989</v>
          </cell>
          <cell r="X111">
            <v>90</v>
          </cell>
          <cell r="Z111">
            <v>3533</v>
          </cell>
          <cell r="AB111">
            <v>-0.20000000000027285</v>
          </cell>
        </row>
        <row r="112">
          <cell r="D112">
            <v>5207</v>
          </cell>
          <cell r="E112" t="str">
            <v>St Patrick's Catholic Voluntary Academy</v>
          </cell>
          <cell r="F112">
            <v>10040495</v>
          </cell>
          <cell r="H112">
            <v>1998436</v>
          </cell>
          <cell r="J112">
            <v>1</v>
          </cell>
          <cell r="K112">
            <v>4224</v>
          </cell>
          <cell r="L112">
            <v>4224</v>
          </cell>
          <cell r="M112">
            <v>0</v>
          </cell>
          <cell r="N112">
            <v>4859.71</v>
          </cell>
          <cell r="O112">
            <v>635.71</v>
          </cell>
          <cell r="P112">
            <v>0.15049952651515153</v>
          </cell>
          <cell r="R112">
            <v>1998436</v>
          </cell>
          <cell r="S112">
            <v>0</v>
          </cell>
          <cell r="T112">
            <v>4224</v>
          </cell>
          <cell r="U112">
            <v>635.71</v>
          </cell>
          <cell r="X112">
            <v>232</v>
          </cell>
          <cell r="Z112">
            <v>4224</v>
          </cell>
          <cell r="AB112">
            <v>0</v>
          </cell>
        </row>
        <row r="113">
          <cell r="D113">
            <v>5208</v>
          </cell>
          <cell r="E113" t="str">
            <v>St Theresa's Catholic Primary School</v>
          </cell>
          <cell r="F113">
            <v>10078678</v>
          </cell>
          <cell r="H113">
            <v>1154106</v>
          </cell>
          <cell r="J113">
            <v>1</v>
          </cell>
          <cell r="K113">
            <v>3404.8</v>
          </cell>
          <cell r="L113">
            <v>3404.8</v>
          </cell>
          <cell r="M113">
            <v>0</v>
          </cell>
          <cell r="N113">
            <v>3925.3</v>
          </cell>
          <cell r="O113">
            <v>520.5</v>
          </cell>
          <cell r="P113">
            <v>0.15287241541353383</v>
          </cell>
          <cell r="R113">
            <v>1154106</v>
          </cell>
          <cell r="S113">
            <v>0</v>
          </cell>
          <cell r="T113">
            <v>3244</v>
          </cell>
          <cell r="U113">
            <v>681.30000000000018</v>
          </cell>
          <cell r="X113">
            <v>0</v>
          </cell>
          <cell r="Z113">
            <v>3244</v>
          </cell>
          <cell r="AB113">
            <v>160.80000000000018</v>
          </cell>
        </row>
        <row r="114">
          <cell r="D114">
            <v>3424</v>
          </cell>
          <cell r="E114" t="str">
            <v>St Thomas More Catholic Primary, A Voluntary Academy</v>
          </cell>
          <cell r="F114">
            <v>10055407</v>
          </cell>
          <cell r="H114">
            <v>1154122</v>
          </cell>
          <cell r="J114">
            <v>1</v>
          </cell>
          <cell r="K114">
            <v>2816</v>
          </cell>
          <cell r="L114">
            <v>2816</v>
          </cell>
          <cell r="M114">
            <v>0</v>
          </cell>
          <cell r="N114">
            <v>3248.48</v>
          </cell>
          <cell r="O114">
            <v>432.48</v>
          </cell>
          <cell r="P114">
            <v>0.15357954545454547</v>
          </cell>
          <cell r="R114">
            <v>1154122</v>
          </cell>
          <cell r="S114">
            <v>0</v>
          </cell>
          <cell r="T114">
            <v>2816</v>
          </cell>
          <cell r="U114">
            <v>432.48</v>
          </cell>
          <cell r="X114">
            <v>71</v>
          </cell>
          <cell r="Z114">
            <v>2816</v>
          </cell>
          <cell r="AB114">
            <v>0</v>
          </cell>
        </row>
        <row r="115">
          <cell r="D115">
            <v>3414</v>
          </cell>
          <cell r="E115" t="str">
            <v>St Thomas of Canterbury School, a Catholic Voluntary Academy</v>
          </cell>
          <cell r="F115">
            <v>10039031</v>
          </cell>
          <cell r="G115">
            <v>1928451</v>
          </cell>
          <cell r="H115">
            <v>2467441</v>
          </cell>
          <cell r="J115">
            <v>1</v>
          </cell>
          <cell r="K115">
            <v>3763.2</v>
          </cell>
          <cell r="L115">
            <v>3763.2</v>
          </cell>
          <cell r="M115">
            <v>0</v>
          </cell>
          <cell r="N115">
            <v>4329.6000000000004</v>
          </cell>
          <cell r="O115">
            <v>566.40000000000055</v>
          </cell>
          <cell r="P115">
            <v>0.15051020408163279</v>
          </cell>
          <cell r="R115" t="e">
            <v>#N/A</v>
          </cell>
          <cell r="S115" t="e">
            <v>#N/A</v>
          </cell>
          <cell r="T115">
            <v>3763</v>
          </cell>
          <cell r="U115">
            <v>566.60000000000036</v>
          </cell>
          <cell r="X115">
            <v>95</v>
          </cell>
          <cell r="Z115">
            <v>3763</v>
          </cell>
          <cell r="AB115">
            <v>0.1999999999998181</v>
          </cell>
        </row>
        <row r="116">
          <cell r="D116">
            <v>3412</v>
          </cell>
          <cell r="E116" t="str">
            <v>St Wilfrid's Catholic Primary School</v>
          </cell>
          <cell r="F116">
            <v>10039030</v>
          </cell>
          <cell r="G116">
            <v>1154130</v>
          </cell>
          <cell r="H116">
            <v>2467466</v>
          </cell>
          <cell r="J116">
            <v>1</v>
          </cell>
          <cell r="K116">
            <v>4505.6000000000004</v>
          </cell>
          <cell r="L116">
            <v>4505.6000000000004</v>
          </cell>
          <cell r="M116">
            <v>0</v>
          </cell>
          <cell r="N116">
            <v>5198.08</v>
          </cell>
          <cell r="O116">
            <v>692.47999999999956</v>
          </cell>
          <cell r="P116">
            <v>0.1536931818181817</v>
          </cell>
          <cell r="R116" t="e">
            <v>#N/A</v>
          </cell>
          <cell r="S116" t="e">
            <v>#N/A</v>
          </cell>
          <cell r="T116">
            <v>4506</v>
          </cell>
          <cell r="U116">
            <v>692.07999999999993</v>
          </cell>
          <cell r="X116">
            <v>564</v>
          </cell>
          <cell r="Z116">
            <v>4506</v>
          </cell>
          <cell r="AB116">
            <v>-0.3999999999996362</v>
          </cell>
        </row>
        <row r="117">
          <cell r="D117">
            <v>2294</v>
          </cell>
          <cell r="E117" t="str">
            <v>Stannington Infant School</v>
          </cell>
          <cell r="F117">
            <v>10083186</v>
          </cell>
          <cell r="H117">
            <v>2304817</v>
          </cell>
          <cell r="J117">
            <v>1</v>
          </cell>
          <cell r="K117">
            <v>1894.4</v>
          </cell>
          <cell r="L117">
            <v>1894.4</v>
          </cell>
          <cell r="M117">
            <v>0</v>
          </cell>
          <cell r="N117">
            <v>2184.35</v>
          </cell>
          <cell r="O117">
            <v>289.94999999999982</v>
          </cell>
          <cell r="P117">
            <v>0.15305637668918909</v>
          </cell>
          <cell r="R117">
            <v>2304817</v>
          </cell>
          <cell r="S117">
            <v>0</v>
          </cell>
          <cell r="T117">
            <v>1894</v>
          </cell>
          <cell r="U117">
            <v>290.34999999999991</v>
          </cell>
          <cell r="X117">
            <v>-120</v>
          </cell>
          <cell r="Z117">
            <v>1894</v>
          </cell>
          <cell r="AB117">
            <v>0.40000000000009095</v>
          </cell>
        </row>
        <row r="118">
          <cell r="D118">
            <v>2303</v>
          </cell>
          <cell r="E118" t="str">
            <v>Stocksbridge Junior School</v>
          </cell>
          <cell r="F118">
            <v>10071439</v>
          </cell>
          <cell r="H118">
            <v>1154252</v>
          </cell>
          <cell r="J118">
            <v>1</v>
          </cell>
          <cell r="K118">
            <v>20583.75</v>
          </cell>
          <cell r="L118">
            <v>20583.75</v>
          </cell>
          <cell r="M118">
            <v>0</v>
          </cell>
          <cell r="N118">
            <v>23577.75</v>
          </cell>
          <cell r="O118">
            <v>2994</v>
          </cell>
          <cell r="P118">
            <v>0.14545454545454545</v>
          </cell>
          <cell r="R118">
            <v>1154252</v>
          </cell>
          <cell r="S118">
            <v>0</v>
          </cell>
          <cell r="T118">
            <v>20584</v>
          </cell>
          <cell r="U118">
            <v>2993.75</v>
          </cell>
          <cell r="X118">
            <v>0</v>
          </cell>
          <cell r="Z118">
            <v>20584</v>
          </cell>
          <cell r="AB118">
            <v>-0.25</v>
          </cell>
        </row>
        <row r="119">
          <cell r="D119">
            <v>2302</v>
          </cell>
          <cell r="E119" t="str">
            <v>Stocksbridge Nursery Infant School</v>
          </cell>
          <cell r="F119">
            <v>10070906</v>
          </cell>
          <cell r="G119">
            <v>1154260</v>
          </cell>
          <cell r="H119">
            <v>2470827</v>
          </cell>
          <cell r="J119">
            <v>1</v>
          </cell>
          <cell r="K119">
            <v>8799.15</v>
          </cell>
          <cell r="L119">
            <v>16342.25</v>
          </cell>
          <cell r="M119">
            <v>7543.1</v>
          </cell>
          <cell r="N119">
            <v>3873.77</v>
          </cell>
          <cell r="O119">
            <v>-12468.48</v>
          </cell>
          <cell r="P119">
            <v>-0.76295981275528157</v>
          </cell>
          <cell r="R119">
            <v>2470827</v>
          </cell>
          <cell r="S119">
            <v>0</v>
          </cell>
          <cell r="T119">
            <v>16342</v>
          </cell>
          <cell r="U119">
            <v>-12468.23</v>
          </cell>
          <cell r="X119">
            <v>0</v>
          </cell>
          <cell r="Z119">
            <v>16342</v>
          </cell>
          <cell r="AB119">
            <v>0.25</v>
          </cell>
        </row>
        <row r="120">
          <cell r="D120">
            <v>2350</v>
          </cell>
          <cell r="E120" t="str">
            <v>Stradbroke Primary School</v>
          </cell>
          <cell r="F120">
            <v>10069327</v>
          </cell>
          <cell r="H120">
            <v>1154277</v>
          </cell>
          <cell r="J120">
            <v>1</v>
          </cell>
          <cell r="K120">
            <v>29184</v>
          </cell>
          <cell r="L120">
            <v>29184</v>
          </cell>
          <cell r="M120">
            <v>0</v>
          </cell>
          <cell r="N120">
            <v>33580.449999999997</v>
          </cell>
          <cell r="O120">
            <v>4396.4499999999971</v>
          </cell>
          <cell r="P120">
            <v>0.15064590186403498</v>
          </cell>
          <cell r="R120">
            <v>1154277</v>
          </cell>
          <cell r="S120">
            <v>0</v>
          </cell>
          <cell r="T120">
            <v>29754</v>
          </cell>
          <cell r="U120">
            <v>3826.4499999999971</v>
          </cell>
          <cell r="X120">
            <v>0</v>
          </cell>
          <cell r="Z120">
            <v>29754</v>
          </cell>
          <cell r="AB120">
            <v>-570</v>
          </cell>
        </row>
        <row r="121">
          <cell r="D121">
            <v>2230</v>
          </cell>
          <cell r="E121" t="str">
            <v>Tinsley Meadows Primary School</v>
          </cell>
          <cell r="F121">
            <v>10056132</v>
          </cell>
          <cell r="H121">
            <v>2170568</v>
          </cell>
          <cell r="J121">
            <v>1</v>
          </cell>
          <cell r="K121">
            <v>16076.800000000001</v>
          </cell>
          <cell r="L121">
            <v>16076.800000000001</v>
          </cell>
          <cell r="M121">
            <v>0</v>
          </cell>
          <cell r="N121">
            <v>20928.18</v>
          </cell>
          <cell r="O121">
            <v>4851.3799999999992</v>
          </cell>
          <cell r="P121">
            <v>0.30176278861464961</v>
          </cell>
          <cell r="R121">
            <v>2170568</v>
          </cell>
          <cell r="S121">
            <v>0</v>
          </cell>
          <cell r="T121">
            <v>2720</v>
          </cell>
          <cell r="U121">
            <v>18208.18</v>
          </cell>
          <cell r="X121">
            <v>0</v>
          </cell>
          <cell r="Z121">
            <v>2720</v>
          </cell>
          <cell r="AB121">
            <v>13356.800000000001</v>
          </cell>
        </row>
        <row r="122">
          <cell r="D122">
            <v>5206</v>
          </cell>
          <cell r="E122" t="str">
            <v>Totley All Saints Church of England Voluntary Aided Primary School</v>
          </cell>
          <cell r="F122">
            <v>10084995</v>
          </cell>
          <cell r="H122">
            <v>2335792</v>
          </cell>
          <cell r="J122">
            <v>1</v>
          </cell>
          <cell r="K122">
            <v>3276.8</v>
          </cell>
          <cell r="L122">
            <v>3276.8</v>
          </cell>
          <cell r="M122">
            <v>0</v>
          </cell>
          <cell r="N122">
            <v>3774.04</v>
          </cell>
          <cell r="O122">
            <v>497.23999999999978</v>
          </cell>
          <cell r="P122">
            <v>0.15174560546874993</v>
          </cell>
          <cell r="R122">
            <v>2335792</v>
          </cell>
          <cell r="S122">
            <v>0</v>
          </cell>
          <cell r="T122">
            <v>3277</v>
          </cell>
          <cell r="U122">
            <v>497.03999999999996</v>
          </cell>
          <cell r="X122">
            <v>83</v>
          </cell>
          <cell r="Z122">
            <v>3277</v>
          </cell>
          <cell r="AB122">
            <v>-0.1999999999998181</v>
          </cell>
        </row>
        <row r="123">
          <cell r="D123">
            <v>2203</v>
          </cell>
          <cell r="E123" t="str">
            <v>Totley Primary School</v>
          </cell>
          <cell r="F123">
            <v>10044807</v>
          </cell>
          <cell r="H123">
            <v>2002962</v>
          </cell>
          <cell r="J123">
            <v>1</v>
          </cell>
          <cell r="K123">
            <v>3404.8</v>
          </cell>
          <cell r="L123">
            <v>3404.8</v>
          </cell>
          <cell r="M123">
            <v>0</v>
          </cell>
          <cell r="N123">
            <v>3948.7</v>
          </cell>
          <cell r="O123">
            <v>543.89999999999964</v>
          </cell>
          <cell r="P123">
            <v>0.15974506578947356</v>
          </cell>
          <cell r="R123">
            <v>2002962</v>
          </cell>
          <cell r="S123">
            <v>0</v>
          </cell>
          <cell r="T123">
            <v>3405</v>
          </cell>
          <cell r="U123">
            <v>543.69999999999982</v>
          </cell>
          <cell r="X123">
            <v>87</v>
          </cell>
          <cell r="Z123">
            <v>3405</v>
          </cell>
          <cell r="AB123">
            <v>-0.1999999999998181</v>
          </cell>
        </row>
        <row r="124">
          <cell r="D124">
            <v>2351</v>
          </cell>
          <cell r="E124" t="str">
            <v>Walkley Primary School</v>
          </cell>
          <cell r="F124">
            <v>10041578</v>
          </cell>
          <cell r="H124">
            <v>2425442</v>
          </cell>
          <cell r="J124">
            <v>1</v>
          </cell>
          <cell r="K124">
            <v>46080</v>
          </cell>
          <cell r="L124">
            <v>46080</v>
          </cell>
          <cell r="M124">
            <v>0</v>
          </cell>
          <cell r="N124">
            <v>60190</v>
          </cell>
          <cell r="O124">
            <v>14110</v>
          </cell>
          <cell r="P124">
            <v>0.30620659722222221</v>
          </cell>
          <cell r="R124">
            <v>2425442</v>
          </cell>
          <cell r="S124">
            <v>0</v>
          </cell>
          <cell r="T124">
            <v>22954</v>
          </cell>
          <cell r="U124">
            <v>37236</v>
          </cell>
          <cell r="X124">
            <v>0</v>
          </cell>
          <cell r="Z124">
            <v>22954</v>
          </cell>
          <cell r="AB124">
            <v>23126</v>
          </cell>
        </row>
        <row r="125">
          <cell r="D125">
            <v>3432</v>
          </cell>
          <cell r="E125" t="str">
            <v>Watercliffe Meadow Community Primary School</v>
          </cell>
          <cell r="F125">
            <v>10075271</v>
          </cell>
          <cell r="H125">
            <v>1714424</v>
          </cell>
          <cell r="J125">
            <v>1</v>
          </cell>
          <cell r="K125">
            <v>45568</v>
          </cell>
          <cell r="L125">
            <v>45568</v>
          </cell>
          <cell r="M125">
            <v>0</v>
          </cell>
          <cell r="N125">
            <v>57856</v>
          </cell>
          <cell r="O125">
            <v>12288</v>
          </cell>
          <cell r="P125">
            <v>0.2696629213483146</v>
          </cell>
          <cell r="R125">
            <v>1714424</v>
          </cell>
          <cell r="S125">
            <v>0</v>
          </cell>
          <cell r="T125">
            <v>46458</v>
          </cell>
          <cell r="U125">
            <v>11398</v>
          </cell>
          <cell r="X125">
            <v>0</v>
          </cell>
          <cell r="Z125">
            <v>46458</v>
          </cell>
          <cell r="AB125">
            <v>-890</v>
          </cell>
        </row>
        <row r="126">
          <cell r="D126">
            <v>2319</v>
          </cell>
          <cell r="E126" t="str">
            <v>Waterthorpe Infant School</v>
          </cell>
          <cell r="F126">
            <v>10070904</v>
          </cell>
          <cell r="H126">
            <v>2077783</v>
          </cell>
          <cell r="J126">
            <v>1</v>
          </cell>
          <cell r="K126">
            <v>16966</v>
          </cell>
          <cell r="L126">
            <v>16966</v>
          </cell>
          <cell r="M126">
            <v>0</v>
          </cell>
          <cell r="N126">
            <v>16512</v>
          </cell>
          <cell r="O126">
            <v>-454</v>
          </cell>
          <cell r="P126">
            <v>-2.6759401155251678E-2</v>
          </cell>
          <cell r="R126">
            <v>2077783</v>
          </cell>
          <cell r="S126">
            <v>0</v>
          </cell>
          <cell r="T126">
            <v>16966</v>
          </cell>
          <cell r="U126">
            <v>-454</v>
          </cell>
          <cell r="X126">
            <v>0</v>
          </cell>
          <cell r="Z126">
            <v>16966</v>
          </cell>
          <cell r="AB126">
            <v>0</v>
          </cell>
        </row>
        <row r="127">
          <cell r="D127">
            <v>2352</v>
          </cell>
          <cell r="E127" t="str">
            <v>Westways Primary School</v>
          </cell>
          <cell r="F127">
            <v>10075674</v>
          </cell>
          <cell r="H127">
            <v>1154382</v>
          </cell>
          <cell r="J127">
            <v>1</v>
          </cell>
          <cell r="K127">
            <v>31744</v>
          </cell>
          <cell r="L127">
            <v>31744</v>
          </cell>
          <cell r="M127">
            <v>0</v>
          </cell>
          <cell r="N127">
            <v>36709.699999999997</v>
          </cell>
          <cell r="O127">
            <v>4965.6999999999971</v>
          </cell>
          <cell r="P127">
            <v>0.1564295614919354</v>
          </cell>
          <cell r="R127">
            <v>1154382</v>
          </cell>
          <cell r="S127">
            <v>0</v>
          </cell>
          <cell r="T127">
            <v>32364</v>
          </cell>
          <cell r="U127">
            <v>4345.6999999999971</v>
          </cell>
          <cell r="X127">
            <v>0</v>
          </cell>
          <cell r="Z127">
            <v>32364</v>
          </cell>
          <cell r="AB127">
            <v>-620</v>
          </cell>
        </row>
        <row r="128">
          <cell r="D128">
            <v>2311</v>
          </cell>
          <cell r="E128" t="str">
            <v>Wharncliffe Side Primary School</v>
          </cell>
          <cell r="F128">
            <v>10083187</v>
          </cell>
          <cell r="H128">
            <v>2304833</v>
          </cell>
          <cell r="J128">
            <v>1</v>
          </cell>
          <cell r="K128">
            <v>3251.2</v>
          </cell>
          <cell r="L128">
            <v>3251.2</v>
          </cell>
          <cell r="M128">
            <v>0</v>
          </cell>
          <cell r="N128">
            <v>2892.7999999999997</v>
          </cell>
          <cell r="O128">
            <v>-358.40000000000009</v>
          </cell>
          <cell r="P128">
            <v>-0.11023622047244098</v>
          </cell>
          <cell r="R128">
            <v>2304833</v>
          </cell>
          <cell r="S128">
            <v>0</v>
          </cell>
          <cell r="T128">
            <v>3251</v>
          </cell>
          <cell r="U128">
            <v>-358.20000000000027</v>
          </cell>
          <cell r="X128">
            <v>-206</v>
          </cell>
          <cell r="Z128">
            <v>3251</v>
          </cell>
          <cell r="AB128">
            <v>0.1999999999998181</v>
          </cell>
        </row>
        <row r="129">
          <cell r="D129">
            <v>2040</v>
          </cell>
          <cell r="E129" t="str">
            <v>Whiteways Primary School</v>
          </cell>
          <cell r="F129">
            <v>10085572</v>
          </cell>
          <cell r="H129">
            <v>2370176</v>
          </cell>
          <cell r="J129">
            <v>1</v>
          </cell>
          <cell r="K129">
            <v>7270.4</v>
          </cell>
          <cell r="L129">
            <v>7270.4</v>
          </cell>
          <cell r="M129">
            <v>0</v>
          </cell>
          <cell r="N129">
            <v>8140.8</v>
          </cell>
          <cell r="O129">
            <v>870.40000000000055</v>
          </cell>
          <cell r="P129">
            <v>0.11971830985915501</v>
          </cell>
          <cell r="R129">
            <v>2370176</v>
          </cell>
          <cell r="S129">
            <v>0</v>
          </cell>
          <cell r="T129">
            <v>7270</v>
          </cell>
          <cell r="U129">
            <v>870.80000000000018</v>
          </cell>
          <cell r="X129">
            <v>-142</v>
          </cell>
          <cell r="Z129">
            <v>7270</v>
          </cell>
          <cell r="AB129">
            <v>0.3999999999996362</v>
          </cell>
        </row>
        <row r="130">
          <cell r="D130">
            <v>2027</v>
          </cell>
          <cell r="E130" t="str">
            <v>Wincobank Nursery and Infant School</v>
          </cell>
          <cell r="F130">
            <v>10044935</v>
          </cell>
          <cell r="H130">
            <v>2008243</v>
          </cell>
          <cell r="J130">
            <v>1</v>
          </cell>
          <cell r="K130">
            <v>2406.3999999999996</v>
          </cell>
          <cell r="L130">
            <v>2406.3999999999996</v>
          </cell>
          <cell r="M130">
            <v>0</v>
          </cell>
          <cell r="N130">
            <v>2777.7</v>
          </cell>
          <cell r="O130">
            <v>371.30000000000018</v>
          </cell>
          <cell r="P130">
            <v>0.15429687500000011</v>
          </cell>
          <cell r="R130">
            <v>2008243</v>
          </cell>
          <cell r="S130">
            <v>0</v>
          </cell>
          <cell r="T130">
            <v>2406</v>
          </cell>
          <cell r="U130">
            <v>371.69999999999982</v>
          </cell>
          <cell r="X130">
            <v>61</v>
          </cell>
          <cell r="Z130">
            <v>2406</v>
          </cell>
          <cell r="AB130">
            <v>0.3999999999996362</v>
          </cell>
        </row>
        <row r="131">
          <cell r="D131">
            <v>2361</v>
          </cell>
          <cell r="E131" t="str">
            <v>Windmill Hill Primary School</v>
          </cell>
          <cell r="F131">
            <v>10066652</v>
          </cell>
          <cell r="H131">
            <v>2234574</v>
          </cell>
          <cell r="J131">
            <v>1</v>
          </cell>
          <cell r="K131">
            <v>4428.8</v>
          </cell>
          <cell r="L131">
            <v>4428.8</v>
          </cell>
          <cell r="M131">
            <v>0</v>
          </cell>
          <cell r="N131">
            <v>4915.2</v>
          </cell>
          <cell r="O131">
            <v>486.39999999999964</v>
          </cell>
          <cell r="P131">
            <v>0.10982658959537564</v>
          </cell>
          <cell r="R131">
            <v>2234574</v>
          </cell>
          <cell r="S131">
            <v>0</v>
          </cell>
          <cell r="T131">
            <v>4429</v>
          </cell>
          <cell r="U131">
            <v>486.19999999999982</v>
          </cell>
          <cell r="X131">
            <v>113</v>
          </cell>
          <cell r="Z131">
            <v>4429</v>
          </cell>
          <cell r="AB131">
            <v>-0.1999999999998181</v>
          </cell>
        </row>
        <row r="132">
          <cell r="D132">
            <v>2043</v>
          </cell>
          <cell r="E132" t="str">
            <v>Wisewood Community Primary School</v>
          </cell>
          <cell r="F132">
            <v>10052502</v>
          </cell>
          <cell r="H132">
            <v>2101814</v>
          </cell>
          <cell r="J132">
            <v>1</v>
          </cell>
          <cell r="K132">
            <v>2508.8000000000002</v>
          </cell>
          <cell r="L132">
            <v>2508.8000000000002</v>
          </cell>
          <cell r="M132">
            <v>0</v>
          </cell>
          <cell r="N132">
            <v>2893.77</v>
          </cell>
          <cell r="O132">
            <v>384.9699999999998</v>
          </cell>
          <cell r="P132">
            <v>0.15344786352040807</v>
          </cell>
          <cell r="R132">
            <v>2101814</v>
          </cell>
          <cell r="S132">
            <v>0</v>
          </cell>
          <cell r="T132">
            <v>2509</v>
          </cell>
          <cell r="U132">
            <v>384.77</v>
          </cell>
          <cell r="X132">
            <v>189</v>
          </cell>
          <cell r="Z132">
            <v>2509</v>
          </cell>
          <cell r="AB132">
            <v>-0.1999999999998181</v>
          </cell>
        </row>
        <row r="133">
          <cell r="D133">
            <v>2139</v>
          </cell>
          <cell r="E133" t="str">
            <v>Woodhouse West Primary School</v>
          </cell>
          <cell r="F133">
            <v>10086537</v>
          </cell>
          <cell r="H133">
            <v>2368995</v>
          </cell>
          <cell r="J133">
            <v>1</v>
          </cell>
          <cell r="K133">
            <v>5171.2</v>
          </cell>
          <cell r="L133">
            <v>5375.38</v>
          </cell>
          <cell r="M133">
            <v>204.18000000000029</v>
          </cell>
          <cell r="N133">
            <v>6194.43</v>
          </cell>
          <cell r="O133">
            <v>819.05000000000018</v>
          </cell>
          <cell r="P133">
            <v>0.15237062310013436</v>
          </cell>
          <cell r="R133">
            <v>2368995</v>
          </cell>
          <cell r="S133">
            <v>0</v>
          </cell>
          <cell r="T133">
            <v>5171</v>
          </cell>
          <cell r="U133">
            <v>1023.4300000000003</v>
          </cell>
          <cell r="X133">
            <v>131</v>
          </cell>
          <cell r="Z133">
            <v>5171</v>
          </cell>
          <cell r="AB133">
            <v>204.38000000000011</v>
          </cell>
        </row>
        <row r="134">
          <cell r="D134">
            <v>2034</v>
          </cell>
          <cell r="E134" t="str">
            <v>Woodlands Primary School</v>
          </cell>
          <cell r="F134">
            <v>10047458</v>
          </cell>
          <cell r="H134">
            <v>2078788</v>
          </cell>
          <cell r="J134">
            <v>1</v>
          </cell>
          <cell r="K134">
            <v>10240</v>
          </cell>
          <cell r="L134">
            <v>10240</v>
          </cell>
          <cell r="M134">
            <v>0</v>
          </cell>
          <cell r="N134">
            <v>12492.8</v>
          </cell>
          <cell r="O134">
            <v>2252.7999999999993</v>
          </cell>
          <cell r="P134">
            <v>0.21999999999999992</v>
          </cell>
          <cell r="R134">
            <v>2078788</v>
          </cell>
          <cell r="S134">
            <v>0</v>
          </cell>
          <cell r="T134">
            <v>10240</v>
          </cell>
          <cell r="U134">
            <v>2252.7999999999993</v>
          </cell>
          <cell r="X134">
            <v>-43</v>
          </cell>
          <cell r="Z134">
            <v>10240</v>
          </cell>
          <cell r="AB134">
            <v>0</v>
          </cell>
        </row>
        <row r="135">
          <cell r="D135">
            <v>2324</v>
          </cell>
          <cell r="E135" t="str">
            <v>Woodseats Primary School</v>
          </cell>
          <cell r="F135">
            <v>10084203</v>
          </cell>
          <cell r="H135">
            <v>2325561</v>
          </cell>
          <cell r="J135">
            <v>1</v>
          </cell>
          <cell r="K135">
            <v>5017.6000000000004</v>
          </cell>
          <cell r="L135">
            <v>5017.6000000000004</v>
          </cell>
          <cell r="M135">
            <v>0</v>
          </cell>
          <cell r="N135">
            <v>5781.03</v>
          </cell>
          <cell r="O135">
            <v>763.42999999999938</v>
          </cell>
          <cell r="P135">
            <v>0.15215043048469373</v>
          </cell>
          <cell r="R135">
            <v>2325561</v>
          </cell>
          <cell r="S135">
            <v>0</v>
          </cell>
          <cell r="T135">
            <v>5018</v>
          </cell>
          <cell r="U135">
            <v>763.02999999999975</v>
          </cell>
          <cell r="X135">
            <v>128</v>
          </cell>
          <cell r="Z135">
            <v>5018</v>
          </cell>
          <cell r="AB135">
            <v>-0.3999999999996362</v>
          </cell>
        </row>
        <row r="136">
          <cell r="D136">
            <v>2327</v>
          </cell>
          <cell r="E136" t="str">
            <v>Woodthorpe Primary School</v>
          </cell>
          <cell r="F136">
            <v>10088898</v>
          </cell>
          <cell r="H136">
            <v>2425280</v>
          </cell>
          <cell r="J136">
            <v>1</v>
          </cell>
          <cell r="K136">
            <v>9420.8000000000011</v>
          </cell>
          <cell r="L136">
            <v>9420.8000000000011</v>
          </cell>
          <cell r="M136">
            <v>0</v>
          </cell>
          <cell r="N136">
            <v>11980.8</v>
          </cell>
          <cell r="O136">
            <v>2559.9999999999982</v>
          </cell>
          <cell r="P136">
            <v>0.27173913043478237</v>
          </cell>
          <cell r="R136">
            <v>2425280</v>
          </cell>
          <cell r="S136">
            <v>0</v>
          </cell>
          <cell r="T136">
            <v>48848</v>
          </cell>
          <cell r="U136">
            <v>2211.1999999999989</v>
          </cell>
          <cell r="X136">
            <v>824</v>
          </cell>
          <cell r="Z136">
            <v>48848</v>
          </cell>
          <cell r="AB136">
            <v>-39427.199999999997</v>
          </cell>
        </row>
        <row r="137">
          <cell r="D137">
            <v>2321</v>
          </cell>
          <cell r="E137" t="str">
            <v>Wybourn Community Primary &amp; Nursery School</v>
          </cell>
          <cell r="F137">
            <v>10061432</v>
          </cell>
          <cell r="H137">
            <v>2173135</v>
          </cell>
          <cell r="I137">
            <v>2173565</v>
          </cell>
          <cell r="J137">
            <v>1</v>
          </cell>
          <cell r="K137">
            <v>7859.2</v>
          </cell>
          <cell r="L137">
            <v>7859.2</v>
          </cell>
          <cell r="M137">
            <v>0</v>
          </cell>
          <cell r="N137">
            <v>7218.39</v>
          </cell>
          <cell r="O137">
            <v>-640.80999999999949</v>
          </cell>
          <cell r="P137">
            <v>-8.1536288680781693E-2</v>
          </cell>
          <cell r="R137">
            <v>2173135</v>
          </cell>
          <cell r="S137">
            <v>0</v>
          </cell>
          <cell r="T137">
            <v>5171</v>
          </cell>
          <cell r="U137">
            <v>2047.3900000000003</v>
          </cell>
          <cell r="X137">
            <v>131</v>
          </cell>
          <cell r="Z137">
            <v>5171</v>
          </cell>
          <cell r="AB137">
            <v>2688.2</v>
          </cell>
        </row>
        <row r="138">
          <cell r="Z138">
            <v>0</v>
          </cell>
          <cell r="AB138">
            <v>0</v>
          </cell>
        </row>
        <row r="139">
          <cell r="E139" t="str">
            <v>Total Primary</v>
          </cell>
          <cell r="K139">
            <v>1908823.3010290472</v>
          </cell>
          <cell r="L139">
            <v>1923354.5810290473</v>
          </cell>
          <cell r="M139">
            <v>14531.28</v>
          </cell>
          <cell r="N139">
            <v>2183844.8358418909</v>
          </cell>
          <cell r="O139">
            <v>260490.25481284334</v>
          </cell>
          <cell r="P139">
            <v>0.13543537805362646</v>
          </cell>
          <cell r="X139">
            <v>4744</v>
          </cell>
          <cell r="Z139">
            <v>1975190.55</v>
          </cell>
          <cell r="AB139">
            <v>-51835.968970952788</v>
          </cell>
        </row>
        <row r="140">
          <cell r="Z140">
            <v>0</v>
          </cell>
          <cell r="AB140">
            <v>0</v>
          </cell>
        </row>
        <row r="141">
          <cell r="E141" t="str">
            <v>Secondary</v>
          </cell>
          <cell r="Z141">
            <v>0</v>
          </cell>
          <cell r="AB141">
            <v>0</v>
          </cell>
        </row>
        <row r="142">
          <cell r="Z142">
            <v>0</v>
          </cell>
          <cell r="AB142">
            <v>0</v>
          </cell>
        </row>
        <row r="143">
          <cell r="D143">
            <v>5401</v>
          </cell>
          <cell r="E143" t="str">
            <v>All Saints' Catholic High School</v>
          </cell>
          <cell r="F143">
            <v>10037590</v>
          </cell>
          <cell r="G143">
            <v>1791253</v>
          </cell>
          <cell r="H143">
            <v>2467377</v>
          </cell>
          <cell r="J143">
            <v>1</v>
          </cell>
          <cell r="K143">
            <v>34816</v>
          </cell>
          <cell r="L143">
            <v>34816</v>
          </cell>
          <cell r="M143">
            <v>0</v>
          </cell>
          <cell r="N143">
            <v>41216</v>
          </cell>
          <cell r="O143">
            <v>6400</v>
          </cell>
          <cell r="P143">
            <v>0.18382352941176472</v>
          </cell>
          <cell r="R143" t="e">
            <v>#N/A</v>
          </cell>
          <cell r="S143" t="e">
            <v>#N/A</v>
          </cell>
          <cell r="T143">
            <v>34816</v>
          </cell>
          <cell r="U143">
            <v>6400</v>
          </cell>
          <cell r="X143">
            <v>-680</v>
          </cell>
          <cell r="Z143">
            <v>34816</v>
          </cell>
          <cell r="AB143">
            <v>0</v>
          </cell>
        </row>
        <row r="144">
          <cell r="D144">
            <v>4017</v>
          </cell>
          <cell r="E144" t="str">
            <v>Bradfield School</v>
          </cell>
          <cell r="F144">
            <v>10085445</v>
          </cell>
          <cell r="H144">
            <v>2006494</v>
          </cell>
          <cell r="J144">
            <v>1</v>
          </cell>
          <cell r="K144">
            <v>31488</v>
          </cell>
          <cell r="L144">
            <v>31488</v>
          </cell>
          <cell r="M144">
            <v>0</v>
          </cell>
          <cell r="N144">
            <v>41039.050000000003</v>
          </cell>
          <cell r="O144">
            <v>9551.0500000000029</v>
          </cell>
          <cell r="P144">
            <v>0.3033234883130082</v>
          </cell>
          <cell r="R144">
            <v>2006494</v>
          </cell>
          <cell r="S144">
            <v>0</v>
          </cell>
          <cell r="T144">
            <v>34258</v>
          </cell>
          <cell r="U144">
            <v>6781.0500000000029</v>
          </cell>
          <cell r="X144">
            <v>3569</v>
          </cell>
          <cell r="Z144">
            <v>34258</v>
          </cell>
          <cell r="AB144">
            <v>-2770</v>
          </cell>
        </row>
        <row r="145">
          <cell r="D145">
            <v>4000</v>
          </cell>
          <cell r="E145" t="str">
            <v>Chaucer School</v>
          </cell>
          <cell r="F145">
            <v>10038384</v>
          </cell>
          <cell r="H145">
            <v>1929820</v>
          </cell>
          <cell r="J145">
            <v>1</v>
          </cell>
          <cell r="K145">
            <v>17408</v>
          </cell>
          <cell r="L145">
            <v>17408</v>
          </cell>
          <cell r="M145">
            <v>0</v>
          </cell>
          <cell r="N145">
            <v>22664.2</v>
          </cell>
          <cell r="O145">
            <v>5256.2000000000007</v>
          </cell>
          <cell r="P145">
            <v>0.30194163602941182</v>
          </cell>
          <cell r="R145">
            <v>1929820</v>
          </cell>
          <cell r="S145">
            <v>0</v>
          </cell>
          <cell r="T145">
            <v>17408</v>
          </cell>
          <cell r="U145">
            <v>5256.2000000000007</v>
          </cell>
          <cell r="X145">
            <v>-761</v>
          </cell>
          <cell r="Z145">
            <v>17408</v>
          </cell>
          <cell r="AB145">
            <v>0</v>
          </cell>
        </row>
        <row r="146">
          <cell r="D146">
            <v>4012</v>
          </cell>
          <cell r="E146" t="str">
            <v>Ecclesfield School</v>
          </cell>
          <cell r="F146">
            <v>10065904</v>
          </cell>
          <cell r="H146">
            <v>2226547</v>
          </cell>
          <cell r="J146">
            <v>1</v>
          </cell>
          <cell r="K146">
            <v>43520</v>
          </cell>
          <cell r="L146">
            <v>43520</v>
          </cell>
          <cell r="M146">
            <v>0</v>
          </cell>
          <cell r="N146">
            <v>52224</v>
          </cell>
          <cell r="O146">
            <v>8704</v>
          </cell>
          <cell r="P146">
            <v>0.2</v>
          </cell>
          <cell r="R146">
            <v>2226547</v>
          </cell>
          <cell r="S146">
            <v>0</v>
          </cell>
          <cell r="T146">
            <v>43520</v>
          </cell>
          <cell r="U146">
            <v>8704</v>
          </cell>
          <cell r="X146">
            <v>-850</v>
          </cell>
          <cell r="Z146">
            <v>43520</v>
          </cell>
          <cell r="AB146">
            <v>0</v>
          </cell>
        </row>
        <row r="147">
          <cell r="D147">
            <v>4280</v>
          </cell>
          <cell r="E147" t="str">
            <v>Fir Vale School</v>
          </cell>
          <cell r="F147">
            <v>10039386</v>
          </cell>
          <cell r="H147">
            <v>1945242</v>
          </cell>
          <cell r="J147">
            <v>1</v>
          </cell>
          <cell r="K147">
            <v>29952</v>
          </cell>
          <cell r="L147">
            <v>29952</v>
          </cell>
          <cell r="M147">
            <v>0</v>
          </cell>
          <cell r="N147">
            <v>34304</v>
          </cell>
          <cell r="O147">
            <v>4352</v>
          </cell>
          <cell r="P147">
            <v>0.14529914529914531</v>
          </cell>
          <cell r="R147">
            <v>1945242</v>
          </cell>
          <cell r="S147">
            <v>0</v>
          </cell>
          <cell r="T147">
            <v>29952</v>
          </cell>
          <cell r="U147">
            <v>4352</v>
          </cell>
          <cell r="X147">
            <v>-585</v>
          </cell>
          <cell r="Z147">
            <v>29952</v>
          </cell>
          <cell r="AB147">
            <v>0</v>
          </cell>
        </row>
        <row r="148">
          <cell r="D148">
            <v>4003</v>
          </cell>
          <cell r="E148" t="str">
            <v>Firth Park Academy</v>
          </cell>
          <cell r="F148">
            <v>10040579</v>
          </cell>
          <cell r="H148">
            <v>1974524</v>
          </cell>
          <cell r="J148">
            <v>1</v>
          </cell>
          <cell r="K148">
            <v>20275.2</v>
          </cell>
          <cell r="L148">
            <v>20275.2</v>
          </cell>
          <cell r="M148">
            <v>0</v>
          </cell>
          <cell r="N148">
            <v>26357.760000000002</v>
          </cell>
          <cell r="O148">
            <v>6082.5600000000013</v>
          </cell>
          <cell r="P148">
            <v>0.30000000000000004</v>
          </cell>
          <cell r="R148">
            <v>1974524</v>
          </cell>
          <cell r="S148">
            <v>0</v>
          </cell>
          <cell r="T148">
            <v>22957</v>
          </cell>
          <cell r="U148">
            <v>3400.760000000002</v>
          </cell>
          <cell r="X148">
            <v>3197</v>
          </cell>
          <cell r="Z148">
            <v>22957</v>
          </cell>
          <cell r="AB148">
            <v>-2681.7999999999993</v>
          </cell>
        </row>
        <row r="149">
          <cell r="D149">
            <v>4007</v>
          </cell>
          <cell r="E149" t="str">
            <v>Forge Valley School</v>
          </cell>
          <cell r="F149">
            <v>10044566</v>
          </cell>
          <cell r="H149">
            <v>2040538</v>
          </cell>
          <cell r="J149">
            <v>1</v>
          </cell>
          <cell r="K149">
            <v>35072</v>
          </cell>
          <cell r="L149">
            <v>35072</v>
          </cell>
          <cell r="M149">
            <v>0</v>
          </cell>
          <cell r="N149">
            <v>45787.95</v>
          </cell>
          <cell r="O149">
            <v>10715.949999999997</v>
          </cell>
          <cell r="P149">
            <v>0.30554145757299261</v>
          </cell>
          <cell r="R149">
            <v>2040538</v>
          </cell>
          <cell r="S149">
            <v>0</v>
          </cell>
          <cell r="T149">
            <v>45774</v>
          </cell>
          <cell r="U149">
            <v>13.94999999999709</v>
          </cell>
          <cell r="X149">
            <v>11592</v>
          </cell>
          <cell r="Z149">
            <v>45774</v>
          </cell>
          <cell r="AB149">
            <v>-10702</v>
          </cell>
        </row>
        <row r="150">
          <cell r="D150">
            <v>4278</v>
          </cell>
          <cell r="E150" t="str">
            <v>Handsworth Grange Community Sports College</v>
          </cell>
          <cell r="F150">
            <v>10047646</v>
          </cell>
          <cell r="H150">
            <v>2044467</v>
          </cell>
          <cell r="J150">
            <v>1</v>
          </cell>
          <cell r="K150">
            <v>26112</v>
          </cell>
          <cell r="L150">
            <v>26112</v>
          </cell>
          <cell r="M150">
            <v>0</v>
          </cell>
          <cell r="N150">
            <v>31488</v>
          </cell>
          <cell r="O150">
            <v>5376</v>
          </cell>
          <cell r="P150">
            <v>0.20588235294117646</v>
          </cell>
          <cell r="R150">
            <v>2044467</v>
          </cell>
          <cell r="S150">
            <v>0</v>
          </cell>
          <cell r="T150">
            <v>26112</v>
          </cell>
          <cell r="U150">
            <v>5376</v>
          </cell>
          <cell r="X150">
            <v>1323</v>
          </cell>
          <cell r="Z150">
            <v>26112</v>
          </cell>
          <cell r="AB150">
            <v>0</v>
          </cell>
        </row>
        <row r="151">
          <cell r="D151">
            <v>4257</v>
          </cell>
          <cell r="E151" t="str">
            <v>High Storrs School</v>
          </cell>
          <cell r="F151">
            <v>10066973</v>
          </cell>
          <cell r="H151">
            <v>2242082</v>
          </cell>
          <cell r="J151">
            <v>1</v>
          </cell>
          <cell r="K151">
            <v>37120</v>
          </cell>
          <cell r="L151">
            <v>37120</v>
          </cell>
          <cell r="M151">
            <v>0</v>
          </cell>
          <cell r="N151">
            <v>48369.75</v>
          </cell>
          <cell r="O151">
            <v>11249.75</v>
          </cell>
          <cell r="P151">
            <v>0.30306438577586209</v>
          </cell>
          <cell r="R151">
            <v>2242082</v>
          </cell>
          <cell r="S151">
            <v>0</v>
          </cell>
          <cell r="T151">
            <v>37258</v>
          </cell>
          <cell r="U151">
            <v>11111.75</v>
          </cell>
          <cell r="X151">
            <v>-2675</v>
          </cell>
          <cell r="Z151">
            <v>37258</v>
          </cell>
          <cell r="AB151">
            <v>-138</v>
          </cell>
        </row>
        <row r="152">
          <cell r="D152">
            <v>4230</v>
          </cell>
          <cell r="E152" t="str">
            <v>King Ecgbert School</v>
          </cell>
          <cell r="F152">
            <v>10037847</v>
          </cell>
          <cell r="H152">
            <v>1570544</v>
          </cell>
          <cell r="J152">
            <v>1</v>
          </cell>
          <cell r="K152">
            <v>40960</v>
          </cell>
          <cell r="L152">
            <v>40960</v>
          </cell>
          <cell r="M152">
            <v>0</v>
          </cell>
          <cell r="N152">
            <v>53261</v>
          </cell>
          <cell r="O152">
            <v>12301</v>
          </cell>
          <cell r="P152">
            <v>0.30031738281249998</v>
          </cell>
          <cell r="R152">
            <v>1570544</v>
          </cell>
          <cell r="S152">
            <v>0</v>
          </cell>
          <cell r="T152">
            <v>40960</v>
          </cell>
          <cell r="U152">
            <v>12301</v>
          </cell>
          <cell r="X152">
            <v>-800</v>
          </cell>
          <cell r="Z152">
            <v>40960</v>
          </cell>
          <cell r="AB152">
            <v>0</v>
          </cell>
        </row>
        <row r="153">
          <cell r="D153">
            <v>4259</v>
          </cell>
          <cell r="E153" t="str">
            <v>King Edward VII School</v>
          </cell>
          <cell r="F153">
            <v>10003636</v>
          </cell>
          <cell r="H153">
            <v>1492330</v>
          </cell>
          <cell r="I153">
            <v>1789286</v>
          </cell>
          <cell r="J153">
            <v>1</v>
          </cell>
          <cell r="K153">
            <v>268800</v>
          </cell>
          <cell r="L153">
            <v>268800</v>
          </cell>
          <cell r="M153">
            <v>0</v>
          </cell>
          <cell r="N153">
            <v>291840</v>
          </cell>
          <cell r="O153">
            <v>23040</v>
          </cell>
          <cell r="P153">
            <v>8.5714285714285715E-2</v>
          </cell>
          <cell r="R153">
            <v>1492330</v>
          </cell>
          <cell r="S153">
            <v>0</v>
          </cell>
          <cell r="T153">
            <v>271290</v>
          </cell>
          <cell r="U153">
            <v>20550</v>
          </cell>
          <cell r="X153">
            <v>0</v>
          </cell>
          <cell r="Z153">
            <v>271290</v>
          </cell>
          <cell r="AB153">
            <v>-2490</v>
          </cell>
        </row>
        <row r="154">
          <cell r="D154">
            <v>4279</v>
          </cell>
          <cell r="E154" t="str">
            <v>Meadowhead School Academy Trust</v>
          </cell>
          <cell r="F154">
            <v>10036602</v>
          </cell>
          <cell r="H154">
            <v>1933473</v>
          </cell>
          <cell r="J154">
            <v>1</v>
          </cell>
          <cell r="K154">
            <v>59904</v>
          </cell>
          <cell r="L154">
            <v>59904</v>
          </cell>
          <cell r="M154">
            <v>0</v>
          </cell>
          <cell r="N154">
            <v>73216</v>
          </cell>
          <cell r="O154">
            <v>13312</v>
          </cell>
          <cell r="P154">
            <v>0.22222222222222221</v>
          </cell>
          <cell r="R154">
            <v>1933473</v>
          </cell>
          <cell r="S154">
            <v>0</v>
          </cell>
          <cell r="T154">
            <v>59904</v>
          </cell>
          <cell r="U154">
            <v>13312</v>
          </cell>
          <cell r="X154">
            <v>-1244</v>
          </cell>
          <cell r="Z154">
            <v>59904</v>
          </cell>
          <cell r="AB154">
            <v>0</v>
          </cell>
        </row>
        <row r="155">
          <cell r="D155">
            <v>4015</v>
          </cell>
          <cell r="E155" t="str">
            <v>Mercia School</v>
          </cell>
          <cell r="F155">
            <v>10068130</v>
          </cell>
          <cell r="H155">
            <v>2284584</v>
          </cell>
          <cell r="J155">
            <v>1</v>
          </cell>
          <cell r="K155">
            <v>8243.2000000000007</v>
          </cell>
          <cell r="L155">
            <v>8243.2000000000007</v>
          </cell>
          <cell r="M155">
            <v>0</v>
          </cell>
          <cell r="N155">
            <v>11887.07</v>
          </cell>
          <cell r="O155">
            <v>3643.869999999999</v>
          </cell>
          <cell r="P155">
            <v>0.44204556482919238</v>
          </cell>
          <cell r="R155">
            <v>2284584</v>
          </cell>
          <cell r="S155">
            <v>0</v>
          </cell>
          <cell r="T155">
            <v>8243</v>
          </cell>
          <cell r="U155">
            <v>3644.0699999999997</v>
          </cell>
          <cell r="X155">
            <v>-161</v>
          </cell>
          <cell r="Z155">
            <v>8243</v>
          </cell>
          <cell r="AB155">
            <v>0.2000000000007276</v>
          </cell>
        </row>
        <row r="156">
          <cell r="D156">
            <v>4008</v>
          </cell>
          <cell r="E156" t="str">
            <v>Newfield Secondary School</v>
          </cell>
          <cell r="F156">
            <v>10045851</v>
          </cell>
          <cell r="H156">
            <v>2019357</v>
          </cell>
          <cell r="J156">
            <v>1</v>
          </cell>
          <cell r="K156">
            <v>29440</v>
          </cell>
          <cell r="L156">
            <v>29440</v>
          </cell>
          <cell r="M156">
            <v>0</v>
          </cell>
          <cell r="N156">
            <v>38353.25</v>
          </cell>
          <cell r="O156">
            <v>8913.25</v>
          </cell>
          <cell r="P156">
            <v>0.30275985054347826</v>
          </cell>
          <cell r="R156">
            <v>2019357</v>
          </cell>
          <cell r="S156">
            <v>0</v>
          </cell>
          <cell r="T156">
            <v>31962</v>
          </cell>
          <cell r="U156">
            <v>6391.25</v>
          </cell>
          <cell r="X156">
            <v>3269</v>
          </cell>
          <cell r="Z156">
            <v>31962</v>
          </cell>
          <cell r="AB156">
            <v>-2522</v>
          </cell>
        </row>
        <row r="157">
          <cell r="D157">
            <v>5400</v>
          </cell>
          <cell r="E157" t="str">
            <v>Notre Dame High School</v>
          </cell>
          <cell r="F157">
            <v>10037587</v>
          </cell>
          <cell r="G157">
            <v>1220478</v>
          </cell>
          <cell r="H157">
            <v>2467385</v>
          </cell>
          <cell r="J157">
            <v>1</v>
          </cell>
          <cell r="K157">
            <v>23142.399999999998</v>
          </cell>
          <cell r="L157">
            <v>23142.399999999998</v>
          </cell>
          <cell r="M157">
            <v>0</v>
          </cell>
          <cell r="N157">
            <v>28928</v>
          </cell>
          <cell r="O157">
            <v>5785.6000000000022</v>
          </cell>
          <cell r="P157">
            <v>0.25000000000000011</v>
          </cell>
          <cell r="R157" t="e">
            <v>#N/A</v>
          </cell>
          <cell r="S157" t="e">
            <v>#N/A</v>
          </cell>
          <cell r="T157">
            <v>23142</v>
          </cell>
          <cell r="U157">
            <v>5786</v>
          </cell>
          <cell r="X157">
            <v>-452</v>
          </cell>
          <cell r="Z157">
            <v>23142</v>
          </cell>
          <cell r="AB157">
            <v>0.39999999999781721</v>
          </cell>
        </row>
        <row r="158">
          <cell r="D158">
            <v>4006</v>
          </cell>
          <cell r="E158" t="str">
            <v>Outwood Academy City</v>
          </cell>
          <cell r="F158">
            <v>10044328</v>
          </cell>
          <cell r="H158">
            <v>1996598</v>
          </cell>
          <cell r="J158">
            <v>1</v>
          </cell>
          <cell r="K158">
            <v>30464</v>
          </cell>
          <cell r="L158">
            <v>30464</v>
          </cell>
          <cell r="M158">
            <v>0</v>
          </cell>
          <cell r="N158">
            <v>39787.15</v>
          </cell>
          <cell r="O158">
            <v>9323.1500000000015</v>
          </cell>
          <cell r="P158">
            <v>0.30603827468487399</v>
          </cell>
          <cell r="R158">
            <v>1996598</v>
          </cell>
          <cell r="S158">
            <v>0</v>
          </cell>
          <cell r="T158">
            <v>38495</v>
          </cell>
          <cell r="U158">
            <v>1292.1500000000015</v>
          </cell>
          <cell r="X158">
            <v>8804</v>
          </cell>
          <cell r="Z158">
            <v>38495</v>
          </cell>
          <cell r="AB158">
            <v>-8031</v>
          </cell>
        </row>
        <row r="159">
          <cell r="D159">
            <v>6907</v>
          </cell>
          <cell r="E159" t="str">
            <v>Parkwood E-ACT Academy</v>
          </cell>
          <cell r="F159">
            <v>10027709</v>
          </cell>
          <cell r="H159">
            <v>1754990</v>
          </cell>
          <cell r="J159">
            <v>1</v>
          </cell>
          <cell r="K159">
            <v>27904</v>
          </cell>
          <cell r="L159">
            <v>27904</v>
          </cell>
          <cell r="M159">
            <v>0</v>
          </cell>
          <cell r="N159">
            <v>36303.15</v>
          </cell>
          <cell r="O159">
            <v>8399.1500000000015</v>
          </cell>
          <cell r="P159">
            <v>0.30100164850917438</v>
          </cell>
          <cell r="R159">
            <v>1754990</v>
          </cell>
          <cell r="S159">
            <v>0</v>
          </cell>
          <cell r="T159">
            <v>31311</v>
          </cell>
          <cell r="U159">
            <v>4992.1500000000015</v>
          </cell>
          <cell r="X159">
            <v>-1520</v>
          </cell>
          <cell r="Z159">
            <v>31311</v>
          </cell>
          <cell r="AB159">
            <v>-3407</v>
          </cell>
        </row>
        <row r="160">
          <cell r="D160">
            <v>6905</v>
          </cell>
          <cell r="E160" t="str">
            <v>Sheffield Park Academy</v>
          </cell>
          <cell r="F160">
            <v>10017528</v>
          </cell>
          <cell r="H160">
            <v>1701197</v>
          </cell>
          <cell r="J160">
            <v>1</v>
          </cell>
          <cell r="K160">
            <v>32000</v>
          </cell>
          <cell r="L160">
            <v>32000</v>
          </cell>
          <cell r="M160">
            <v>0</v>
          </cell>
          <cell r="N160">
            <v>41720.25</v>
          </cell>
          <cell r="O160">
            <v>9720.25</v>
          </cell>
          <cell r="P160">
            <v>0.3037578125</v>
          </cell>
          <cell r="R160">
            <v>1701197</v>
          </cell>
          <cell r="S160">
            <v>0</v>
          </cell>
          <cell r="T160">
            <v>44880</v>
          </cell>
          <cell r="U160">
            <v>-3159.75</v>
          </cell>
          <cell r="X160">
            <v>12255</v>
          </cell>
          <cell r="Z160">
            <v>44880</v>
          </cell>
          <cell r="AB160">
            <v>-12880</v>
          </cell>
        </row>
        <row r="161">
          <cell r="D161">
            <v>6906</v>
          </cell>
          <cell r="E161" t="str">
            <v>Sheffield Springs Academy</v>
          </cell>
          <cell r="F161">
            <v>10017590</v>
          </cell>
          <cell r="H161">
            <v>1705911</v>
          </cell>
          <cell r="J161">
            <v>1</v>
          </cell>
          <cell r="K161">
            <v>28672</v>
          </cell>
          <cell r="L161">
            <v>28672</v>
          </cell>
          <cell r="M161">
            <v>0</v>
          </cell>
          <cell r="N161">
            <v>35072</v>
          </cell>
          <cell r="O161">
            <v>6400</v>
          </cell>
          <cell r="P161">
            <v>0.22321428571428573</v>
          </cell>
          <cell r="R161">
            <v>1705911</v>
          </cell>
          <cell r="S161">
            <v>0</v>
          </cell>
          <cell r="T161">
            <v>43164</v>
          </cell>
          <cell r="U161">
            <v>-8092</v>
          </cell>
          <cell r="X161">
            <v>13932</v>
          </cell>
          <cell r="Z161">
            <v>43164</v>
          </cell>
          <cell r="AB161">
            <v>-14492</v>
          </cell>
        </row>
        <row r="162">
          <cell r="D162">
            <v>4229</v>
          </cell>
          <cell r="E162" t="str">
            <v>Silverdale School</v>
          </cell>
          <cell r="F162">
            <v>10039996</v>
          </cell>
          <cell r="H162">
            <v>1940114</v>
          </cell>
          <cell r="J162">
            <v>1</v>
          </cell>
          <cell r="K162">
            <v>37888</v>
          </cell>
          <cell r="L162">
            <v>37888</v>
          </cell>
          <cell r="M162">
            <v>0</v>
          </cell>
          <cell r="N162">
            <v>49303.8</v>
          </cell>
          <cell r="O162">
            <v>11415.800000000003</v>
          </cell>
          <cell r="P162">
            <v>0.30130384290540546</v>
          </cell>
          <cell r="R162">
            <v>1940114</v>
          </cell>
          <cell r="S162">
            <v>0</v>
          </cell>
          <cell r="T162">
            <v>38705</v>
          </cell>
          <cell r="U162">
            <v>10598.800000000003</v>
          </cell>
          <cell r="X162">
            <v>-1868</v>
          </cell>
          <cell r="Z162">
            <v>38705</v>
          </cell>
          <cell r="AB162">
            <v>-817</v>
          </cell>
        </row>
        <row r="163">
          <cell r="D163">
            <v>4271</v>
          </cell>
          <cell r="E163" t="str">
            <v>Stocksbridge High School</v>
          </cell>
          <cell r="F163">
            <v>10066227</v>
          </cell>
          <cell r="H163">
            <v>2226530</v>
          </cell>
          <cell r="J163">
            <v>1</v>
          </cell>
          <cell r="K163">
            <v>22118.400000000001</v>
          </cell>
          <cell r="L163">
            <v>22118.400000000001</v>
          </cell>
          <cell r="M163">
            <v>0</v>
          </cell>
          <cell r="N163">
            <v>27136</v>
          </cell>
          <cell r="O163">
            <v>5017.5999999999985</v>
          </cell>
          <cell r="P163">
            <v>0.22685185185185178</v>
          </cell>
          <cell r="R163">
            <v>2226530</v>
          </cell>
          <cell r="S163">
            <v>0</v>
          </cell>
          <cell r="T163">
            <v>22118</v>
          </cell>
          <cell r="U163">
            <v>5018</v>
          </cell>
          <cell r="X163">
            <v>-432</v>
          </cell>
          <cell r="Z163">
            <v>22118</v>
          </cell>
          <cell r="AB163">
            <v>0.40000000000145519</v>
          </cell>
        </row>
        <row r="164">
          <cell r="D164">
            <v>4234</v>
          </cell>
          <cell r="E164" t="str">
            <v>Tapton School</v>
          </cell>
          <cell r="F164">
            <v>10035024</v>
          </cell>
          <cell r="H164">
            <v>1913693</v>
          </cell>
          <cell r="J164">
            <v>1</v>
          </cell>
          <cell r="K164">
            <v>46336</v>
          </cell>
          <cell r="L164">
            <v>46336</v>
          </cell>
          <cell r="M164">
            <v>0</v>
          </cell>
          <cell r="N164">
            <v>56320</v>
          </cell>
          <cell r="O164">
            <v>9984</v>
          </cell>
          <cell r="P164">
            <v>0.21546961325966851</v>
          </cell>
          <cell r="R164">
            <v>1913693</v>
          </cell>
          <cell r="S164">
            <v>0</v>
          </cell>
          <cell r="T164">
            <v>46336</v>
          </cell>
          <cell r="U164">
            <v>9984</v>
          </cell>
          <cell r="X164">
            <v>-905</v>
          </cell>
          <cell r="Z164">
            <v>46336</v>
          </cell>
          <cell r="AB164">
            <v>0</v>
          </cell>
        </row>
        <row r="165">
          <cell r="D165">
            <v>4276</v>
          </cell>
          <cell r="E165" t="str">
            <v>The Birley Academy</v>
          </cell>
          <cell r="F165">
            <v>10062640</v>
          </cell>
          <cell r="H165">
            <v>2175955</v>
          </cell>
          <cell r="J165">
            <v>0.84370591776327852</v>
          </cell>
          <cell r="K165">
            <v>37150.058970952683</v>
          </cell>
          <cell r="L165">
            <v>37150.058970952683</v>
          </cell>
          <cell r="M165">
            <v>0</v>
          </cell>
          <cell r="N165">
            <v>28294.521658109308</v>
          </cell>
          <cell r="O165">
            <v>-8855.5373128433748</v>
          </cell>
          <cell r="P165">
            <v>-0.23837209302325588</v>
          </cell>
          <cell r="R165">
            <v>2175955</v>
          </cell>
          <cell r="S165">
            <v>0</v>
          </cell>
          <cell r="T165">
            <v>37150</v>
          </cell>
          <cell r="U165">
            <v>-8855.4783418906918</v>
          </cell>
          <cell r="X165">
            <v>-726</v>
          </cell>
          <cell r="Z165">
            <v>37150</v>
          </cell>
          <cell r="AB165">
            <v>5.8970952683012001E-2</v>
          </cell>
        </row>
        <row r="166">
          <cell r="D166">
            <v>4004</v>
          </cell>
          <cell r="E166" t="str">
            <v>UTC Sheffield City Centre</v>
          </cell>
          <cell r="F166">
            <v>10041720</v>
          </cell>
          <cell r="H166">
            <v>1987225</v>
          </cell>
          <cell r="J166">
            <v>1</v>
          </cell>
          <cell r="K166">
            <v>28416</v>
          </cell>
          <cell r="L166">
            <v>28416</v>
          </cell>
          <cell r="M166">
            <v>0</v>
          </cell>
          <cell r="N166">
            <v>32256</v>
          </cell>
          <cell r="O166">
            <v>3840</v>
          </cell>
          <cell r="P166">
            <v>0.13513513513513514</v>
          </cell>
          <cell r="R166">
            <v>1987225</v>
          </cell>
          <cell r="S166">
            <v>0</v>
          </cell>
          <cell r="T166">
            <v>28416</v>
          </cell>
          <cell r="U166">
            <v>3840</v>
          </cell>
          <cell r="X166">
            <v>-555</v>
          </cell>
          <cell r="Z166">
            <v>28416</v>
          </cell>
          <cell r="AB166">
            <v>0</v>
          </cell>
        </row>
        <row r="167">
          <cell r="D167">
            <v>4010</v>
          </cell>
          <cell r="E167" t="str">
            <v>UTC Sheffield Olympic Legacy Park</v>
          </cell>
          <cell r="F167">
            <v>10057013</v>
          </cell>
          <cell r="H167">
            <v>2177712</v>
          </cell>
          <cell r="J167">
            <v>1</v>
          </cell>
          <cell r="K167">
            <v>27392</v>
          </cell>
          <cell r="L167">
            <v>27392</v>
          </cell>
          <cell r="M167">
            <v>0</v>
          </cell>
          <cell r="N167">
            <v>32768</v>
          </cell>
          <cell r="O167">
            <v>5376</v>
          </cell>
          <cell r="P167">
            <v>0.19626168224299065</v>
          </cell>
          <cell r="R167">
            <v>2177712</v>
          </cell>
          <cell r="S167">
            <v>0</v>
          </cell>
          <cell r="T167">
            <v>27392</v>
          </cell>
          <cell r="U167">
            <v>5376</v>
          </cell>
          <cell r="X167">
            <v>-535</v>
          </cell>
          <cell r="Z167">
            <v>27392</v>
          </cell>
          <cell r="AB167">
            <v>0</v>
          </cell>
        </row>
        <row r="168">
          <cell r="D168">
            <v>4013</v>
          </cell>
          <cell r="E168" t="str">
            <v>Westfield School</v>
          </cell>
          <cell r="F168">
            <v>10066833</v>
          </cell>
          <cell r="H168">
            <v>2284673</v>
          </cell>
          <cell r="J168">
            <v>1</v>
          </cell>
          <cell r="K168">
            <v>55808</v>
          </cell>
          <cell r="L168">
            <v>55808</v>
          </cell>
          <cell r="M168">
            <v>0</v>
          </cell>
          <cell r="N168">
            <v>62976</v>
          </cell>
          <cell r="O168">
            <v>7168</v>
          </cell>
          <cell r="P168">
            <v>0.12844036697247707</v>
          </cell>
          <cell r="R168">
            <v>2284673</v>
          </cell>
          <cell r="S168">
            <v>0</v>
          </cell>
          <cell r="T168">
            <v>54272</v>
          </cell>
          <cell r="U168">
            <v>8704</v>
          </cell>
          <cell r="X168">
            <v>-1060</v>
          </cell>
          <cell r="Z168">
            <v>54272</v>
          </cell>
          <cell r="AB168">
            <v>1536</v>
          </cell>
        </row>
        <row r="169">
          <cell r="D169">
            <v>4016</v>
          </cell>
          <cell r="E169" t="str">
            <v>Yewlands Academy</v>
          </cell>
          <cell r="F169">
            <v>10067326</v>
          </cell>
          <cell r="H169">
            <v>1868552</v>
          </cell>
          <cell r="J169">
            <v>1</v>
          </cell>
          <cell r="K169">
            <v>25600</v>
          </cell>
          <cell r="L169">
            <v>27648</v>
          </cell>
          <cell r="M169">
            <v>2048</v>
          </cell>
          <cell r="N169">
            <v>35072</v>
          </cell>
          <cell r="O169">
            <v>7424</v>
          </cell>
          <cell r="P169">
            <v>0.26851851851851855</v>
          </cell>
          <cell r="R169">
            <v>1868552</v>
          </cell>
          <cell r="S169">
            <v>0</v>
          </cell>
          <cell r="T169">
            <v>25948</v>
          </cell>
          <cell r="U169">
            <v>9124</v>
          </cell>
          <cell r="X169">
            <v>-1252</v>
          </cell>
          <cell r="Z169">
            <v>25948</v>
          </cell>
          <cell r="AB169">
            <v>1700</v>
          </cell>
        </row>
        <row r="170">
          <cell r="Z170">
            <v>0</v>
          </cell>
          <cell r="AB170">
            <v>0</v>
          </cell>
        </row>
        <row r="171">
          <cell r="E171" t="str">
            <v>Total Secondary</v>
          </cell>
          <cell r="K171">
            <v>1106001.2589709526</v>
          </cell>
          <cell r="L171">
            <v>1108049.2589709526</v>
          </cell>
          <cell r="M171">
            <v>2048</v>
          </cell>
          <cell r="N171">
            <v>1317944.9016581092</v>
          </cell>
          <cell r="O171">
            <v>209895.64268715659</v>
          </cell>
          <cell r="P171">
            <v>0.18942807911092965</v>
          </cell>
          <cell r="X171">
            <v>40880</v>
          </cell>
          <cell r="Z171">
            <v>1165743</v>
          </cell>
          <cell r="AB171">
            <v>-57693.741029047407</v>
          </cell>
        </row>
        <row r="172">
          <cell r="Z172">
            <v>0</v>
          </cell>
          <cell r="AB172">
            <v>0</v>
          </cell>
        </row>
        <row r="173">
          <cell r="E173" t="str">
            <v>Middle Deemed Secondary</v>
          </cell>
          <cell r="Z173">
            <v>0</v>
          </cell>
          <cell r="AB173">
            <v>0</v>
          </cell>
        </row>
        <row r="174">
          <cell r="Z174">
            <v>0</v>
          </cell>
          <cell r="AB174">
            <v>0</v>
          </cell>
        </row>
        <row r="175">
          <cell r="D175">
            <v>4014</v>
          </cell>
          <cell r="E175" t="str">
            <v>Astrea Academy Sheffield</v>
          </cell>
          <cell r="F175">
            <v>10067898</v>
          </cell>
          <cell r="H175">
            <v>2310632</v>
          </cell>
          <cell r="J175">
            <v>1</v>
          </cell>
          <cell r="K175">
            <v>7424</v>
          </cell>
          <cell r="L175">
            <v>7424</v>
          </cell>
          <cell r="M175">
            <v>0</v>
          </cell>
          <cell r="N175">
            <v>9679.15</v>
          </cell>
          <cell r="O175">
            <v>2255.1499999999996</v>
          </cell>
          <cell r="P175">
            <v>0.30376481681034478</v>
          </cell>
          <cell r="R175">
            <v>2310632</v>
          </cell>
          <cell r="S175">
            <v>0</v>
          </cell>
          <cell r="T175">
            <v>7424</v>
          </cell>
          <cell r="U175">
            <v>2255.1499999999996</v>
          </cell>
          <cell r="X175">
            <v>-145</v>
          </cell>
          <cell r="Z175">
            <v>7424</v>
          </cell>
          <cell r="AB175">
            <v>0</v>
          </cell>
        </row>
        <row r="176">
          <cell r="D176">
            <v>4225</v>
          </cell>
          <cell r="E176" t="str">
            <v>Hinde House 2-16 School</v>
          </cell>
          <cell r="F176">
            <v>10042253</v>
          </cell>
          <cell r="H176">
            <v>1972078</v>
          </cell>
          <cell r="I176">
            <v>1972053</v>
          </cell>
          <cell r="J176">
            <v>1</v>
          </cell>
          <cell r="K176">
            <v>44646.400000000001</v>
          </cell>
          <cell r="L176">
            <v>44646.400000000001</v>
          </cell>
          <cell r="M176">
            <v>0</v>
          </cell>
          <cell r="N176">
            <v>53248</v>
          </cell>
          <cell r="O176">
            <v>8601.5999999999985</v>
          </cell>
          <cell r="P176">
            <v>0.19266055045871555</v>
          </cell>
          <cell r="R176">
            <v>1972078</v>
          </cell>
          <cell r="S176">
            <v>0</v>
          </cell>
          <cell r="T176">
            <v>45646</v>
          </cell>
          <cell r="U176">
            <v>7602</v>
          </cell>
          <cell r="X176">
            <v>2133</v>
          </cell>
          <cell r="Z176">
            <v>45646</v>
          </cell>
          <cell r="AB176">
            <v>-999.59999999999854</v>
          </cell>
        </row>
        <row r="177">
          <cell r="D177">
            <v>4005</v>
          </cell>
          <cell r="E177" t="str">
            <v>Oasis Academy Don Valley</v>
          </cell>
          <cell r="F177">
            <v>10053396</v>
          </cell>
          <cell r="H177">
            <v>2115528</v>
          </cell>
          <cell r="J177">
            <v>1</v>
          </cell>
          <cell r="K177">
            <v>29952</v>
          </cell>
          <cell r="L177">
            <v>29952</v>
          </cell>
          <cell r="M177">
            <v>0</v>
          </cell>
          <cell r="N177">
            <v>20992</v>
          </cell>
          <cell r="O177">
            <v>-8960</v>
          </cell>
          <cell r="P177">
            <v>-0.29914529914529914</v>
          </cell>
          <cell r="R177">
            <v>2115528</v>
          </cell>
          <cell r="S177">
            <v>0</v>
          </cell>
          <cell r="T177">
            <v>31159</v>
          </cell>
          <cell r="U177">
            <v>-10167</v>
          </cell>
          <cell r="X177">
            <v>-1505</v>
          </cell>
          <cell r="Z177">
            <v>31159</v>
          </cell>
          <cell r="AB177">
            <v>-1207</v>
          </cell>
        </row>
        <row r="178">
          <cell r="Z178">
            <v>0</v>
          </cell>
          <cell r="AB178">
            <v>0</v>
          </cell>
        </row>
        <row r="179">
          <cell r="E179" t="str">
            <v>Total Middle Deemed Secondary</v>
          </cell>
          <cell r="K179">
            <v>82022.399999999994</v>
          </cell>
          <cell r="L179">
            <v>82022.399999999994</v>
          </cell>
          <cell r="M179">
            <v>0</v>
          </cell>
          <cell r="N179">
            <v>83919.15</v>
          </cell>
          <cell r="O179">
            <v>1896.7499999999982</v>
          </cell>
          <cell r="P179">
            <v>2.3124780547752789E-2</v>
          </cell>
          <cell r="X179">
            <v>483</v>
          </cell>
          <cell r="Z179">
            <v>84229</v>
          </cell>
          <cell r="AB179">
            <v>-2206.6000000000058</v>
          </cell>
        </row>
        <row r="180">
          <cell r="AB180">
            <v>0</v>
          </cell>
        </row>
        <row r="181">
          <cell r="E181" t="str">
            <v>Total All Schools</v>
          </cell>
          <cell r="K181">
            <v>3096846.96</v>
          </cell>
          <cell r="L181">
            <v>3113426.2399999998</v>
          </cell>
          <cell r="M181">
            <v>16579.28</v>
          </cell>
          <cell r="N181">
            <v>3585708.8875000002</v>
          </cell>
          <cell r="O181">
            <v>472282.64749999996</v>
          </cell>
          <cell r="P181">
            <v>0.15169225512148315</v>
          </cell>
          <cell r="T181">
            <v>3225162.55</v>
          </cell>
          <cell r="U181">
            <v>440439.28750000021</v>
          </cell>
          <cell r="X181">
            <v>46107</v>
          </cell>
          <cell r="Z181">
            <v>3225162.55</v>
          </cell>
          <cell r="AB181">
            <v>-111736.31000000006</v>
          </cell>
        </row>
        <row r="182">
          <cell r="N182">
            <v>-1.1177689884789288E-9</v>
          </cell>
        </row>
        <row r="185">
          <cell r="D185">
            <v>4014</v>
          </cell>
          <cell r="E185" t="str">
            <v>Astrea 3-16 Academy - Pri</v>
          </cell>
          <cell r="F185">
            <v>10067898</v>
          </cell>
          <cell r="H185">
            <v>2310632</v>
          </cell>
          <cell r="M185">
            <v>0</v>
          </cell>
          <cell r="Q185" t="str">
            <v>one account for both sites</v>
          </cell>
        </row>
        <row r="186">
          <cell r="D186">
            <v>4014</v>
          </cell>
          <cell r="E186" t="str">
            <v>Astrea 3-16 Academy - Sec</v>
          </cell>
          <cell r="F186">
            <v>10067898</v>
          </cell>
          <cell r="H186">
            <v>2310632</v>
          </cell>
          <cell r="K186">
            <v>7424</v>
          </cell>
          <cell r="L186">
            <v>7424</v>
          </cell>
          <cell r="M186">
            <v>0</v>
          </cell>
          <cell r="N186">
            <v>9651.2000000000007</v>
          </cell>
          <cell r="O186">
            <v>2227.2000000000007</v>
          </cell>
          <cell r="P186">
            <v>0.3000000000000001</v>
          </cell>
        </row>
        <row r="187">
          <cell r="K187">
            <v>7424</v>
          </cell>
          <cell r="L187">
            <v>7424</v>
          </cell>
          <cell r="M187">
            <v>0</v>
          </cell>
          <cell r="N187">
            <v>9651.2000000000007</v>
          </cell>
          <cell r="O187">
            <v>2227.2000000000007</v>
          </cell>
        </row>
        <row r="189">
          <cell r="D189">
            <v>4225</v>
          </cell>
          <cell r="E189" t="str">
            <v>Hinde House 3-16 - Pri</v>
          </cell>
          <cell r="F189">
            <v>10042253</v>
          </cell>
          <cell r="H189">
            <v>1972053</v>
          </cell>
          <cell r="K189">
            <v>8294.4000000000015</v>
          </cell>
          <cell r="L189">
            <v>8294.4000000000015</v>
          </cell>
          <cell r="M189">
            <v>0</v>
          </cell>
          <cell r="N189">
            <v>10240</v>
          </cell>
          <cell r="O189">
            <v>1945.5999999999985</v>
          </cell>
          <cell r="P189">
            <v>0.23456790123456769</v>
          </cell>
          <cell r="T189">
            <v>9295</v>
          </cell>
          <cell r="U189">
            <v>945</v>
          </cell>
        </row>
        <row r="190">
          <cell r="D190">
            <v>4225</v>
          </cell>
          <cell r="E190" t="str">
            <v>Hinde House 3-16 Sec</v>
          </cell>
          <cell r="F190">
            <v>10042253</v>
          </cell>
          <cell r="H190">
            <v>1972078</v>
          </cell>
          <cell r="K190">
            <v>36352</v>
          </cell>
          <cell r="L190">
            <v>36352</v>
          </cell>
          <cell r="M190">
            <v>0</v>
          </cell>
          <cell r="N190">
            <v>43008</v>
          </cell>
          <cell r="O190">
            <v>6656</v>
          </cell>
          <cell r="P190">
            <v>0.18309859154929578</v>
          </cell>
          <cell r="T190">
            <v>36351</v>
          </cell>
          <cell r="U190">
            <v>6657</v>
          </cell>
        </row>
        <row r="191">
          <cell r="K191">
            <v>44646.400000000001</v>
          </cell>
          <cell r="L191">
            <v>44646.400000000001</v>
          </cell>
          <cell r="M191">
            <v>0</v>
          </cell>
          <cell r="N191">
            <v>53248</v>
          </cell>
          <cell r="O191">
            <v>8601.5999999999985</v>
          </cell>
          <cell r="P191">
            <v>0.19266055045871555</v>
          </cell>
          <cell r="T191">
            <v>45646</v>
          </cell>
          <cell r="U191">
            <v>7602</v>
          </cell>
        </row>
        <row r="193">
          <cell r="D193">
            <v>4005</v>
          </cell>
          <cell r="E193" t="str">
            <v>Oasis Academy Don Valley</v>
          </cell>
          <cell r="F193">
            <v>10053396</v>
          </cell>
          <cell r="H193">
            <v>2115528</v>
          </cell>
          <cell r="Q193" t="str">
            <v>one account for both phases</v>
          </cell>
        </row>
        <row r="194">
          <cell r="D194">
            <v>4005</v>
          </cell>
          <cell r="E194" t="str">
            <v>Oasis Academy Don Valley</v>
          </cell>
          <cell r="F194">
            <v>10053396</v>
          </cell>
          <cell r="H194">
            <v>2115528</v>
          </cell>
          <cell r="K194">
            <v>29952</v>
          </cell>
          <cell r="L194">
            <v>29952</v>
          </cell>
          <cell r="M194">
            <v>0</v>
          </cell>
          <cell r="N194">
            <v>20992</v>
          </cell>
          <cell r="O194">
            <v>-8960</v>
          </cell>
          <cell r="P194">
            <v>-0.29914529914529914</v>
          </cell>
        </row>
        <row r="195">
          <cell r="K195">
            <v>29952</v>
          </cell>
          <cell r="L195">
            <v>29952</v>
          </cell>
          <cell r="M195">
            <v>0</v>
          </cell>
          <cell r="N195">
            <v>20992</v>
          </cell>
          <cell r="O195">
            <v>-8960</v>
          </cell>
          <cell r="P195">
            <v>-0.29914529914529914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chool Forum 22 23"/>
      <sheetName val="Sheet1"/>
      <sheetName val="Primary Age"/>
      <sheetName val="23 24 rates"/>
    </sheetNames>
    <sheetDataSet>
      <sheetData sheetId="0"/>
      <sheetData sheetId="1"/>
      <sheetData sheetId="2"/>
      <sheetData sheetId="3">
        <row r="1">
          <cell r="L1">
            <v>660</v>
          </cell>
        </row>
        <row r="2">
          <cell r="I2" t="str">
            <v>Specialist Additional Grant @ 3.4%
£</v>
          </cell>
        </row>
        <row r="3">
          <cell r="A3">
            <v>7023</v>
          </cell>
          <cell r="B3" t="str">
            <v>Archdale School</v>
          </cell>
          <cell r="C3">
            <v>20572.791196735823</v>
          </cell>
          <cell r="D3">
            <v>617.18373590207466</v>
          </cell>
          <cell r="E3">
            <v>21189.974932637899</v>
          </cell>
          <cell r="F3">
            <v>21849.974932637899</v>
          </cell>
          <cell r="H3">
            <v>21567.122345206844</v>
          </cell>
          <cell r="I3">
            <v>733.28215973703277</v>
          </cell>
        </row>
        <row r="4">
          <cell r="A4">
            <v>7038</v>
          </cell>
          <cell r="B4" t="str">
            <v>Becton and Kenwood</v>
          </cell>
          <cell r="C4">
            <v>19301</v>
          </cell>
          <cell r="D4">
            <v>579.03</v>
          </cell>
          <cell r="E4">
            <v>19880.03</v>
          </cell>
          <cell r="F4">
            <v>20540.03</v>
          </cell>
          <cell r="H4">
            <v>20295.331148471021</v>
          </cell>
          <cell r="I4">
            <v>690.04125904801481</v>
          </cell>
        </row>
        <row r="5">
          <cell r="A5">
            <v>7010</v>
          </cell>
          <cell r="B5" t="str">
            <v>Bents Green School</v>
          </cell>
          <cell r="C5">
            <v>18955.108774110322</v>
          </cell>
          <cell r="D5">
            <v>568.65326322330964</v>
          </cell>
          <cell r="E5">
            <v>19523.762037333632</v>
          </cell>
          <cell r="F5">
            <v>20183.762037333632</v>
          </cell>
          <cell r="H5">
            <v>19949.439922581343</v>
          </cell>
          <cell r="I5">
            <v>678.28095736776572</v>
          </cell>
        </row>
        <row r="6">
          <cell r="A6">
            <v>7000</v>
          </cell>
          <cell r="B6" t="str">
            <v>Discovery Academy</v>
          </cell>
          <cell r="C6">
            <v>21000</v>
          </cell>
          <cell r="D6">
            <v>630</v>
          </cell>
          <cell r="E6">
            <v>21630</v>
          </cell>
          <cell r="F6">
            <v>22290</v>
          </cell>
          <cell r="H6">
            <v>21994</v>
          </cell>
          <cell r="I6">
            <v>747.79600000000005</v>
          </cell>
        </row>
        <row r="7">
          <cell r="A7">
            <v>7040</v>
          </cell>
          <cell r="B7" t="str">
            <v>Heritage Park Community School</v>
          </cell>
          <cell r="C7">
            <v>21228.220669662842</v>
          </cell>
          <cell r="D7">
            <v>636.84662008988528</v>
          </cell>
          <cell r="E7">
            <v>21865.067289752726</v>
          </cell>
          <cell r="F7">
            <v>22525.067289752726</v>
          </cell>
          <cell r="H7">
            <v>22222.551818133863</v>
          </cell>
          <cell r="I7">
            <v>755.56676181655143</v>
          </cell>
        </row>
        <row r="8">
          <cell r="A8">
            <v>7041</v>
          </cell>
          <cell r="B8" t="str">
            <v>Holgate Meadows Community Special School</v>
          </cell>
          <cell r="C8">
            <v>20825.389725020243</v>
          </cell>
          <cell r="D8">
            <v>624.76169175060727</v>
          </cell>
          <cell r="E8">
            <v>21450.151416770848</v>
          </cell>
          <cell r="F8">
            <v>22110.151416770848</v>
          </cell>
          <cell r="H8">
            <v>21819.720873491264</v>
          </cell>
          <cell r="I8">
            <v>741.87050969870302</v>
          </cell>
        </row>
        <row r="9">
          <cell r="A9">
            <v>7036</v>
          </cell>
          <cell r="B9" t="str">
            <v>Mossbrook School</v>
          </cell>
          <cell r="C9">
            <v>19585.931882202993</v>
          </cell>
          <cell r="D9">
            <v>587.57795646608974</v>
          </cell>
          <cell r="E9">
            <v>20173.509838669081</v>
          </cell>
          <cell r="F9">
            <v>20833.509838669081</v>
          </cell>
          <cell r="H9">
            <v>20580.263030674014</v>
          </cell>
          <cell r="I9">
            <v>699.72894304291651</v>
          </cell>
        </row>
        <row r="10">
          <cell r="A10">
            <v>7043</v>
          </cell>
          <cell r="B10" t="str">
            <v>Seven Hills School</v>
          </cell>
          <cell r="C10">
            <v>19581.997511916961</v>
          </cell>
          <cell r="D10">
            <v>587.45992535750884</v>
          </cell>
          <cell r="E10">
            <v>20169.457437274468</v>
          </cell>
          <cell r="F10">
            <v>20829.457437274468</v>
          </cell>
          <cell r="H10">
            <v>20576.328660387982</v>
          </cell>
          <cell r="I10">
            <v>699.59517445319148</v>
          </cell>
        </row>
        <row r="11">
          <cell r="A11">
            <v>7024</v>
          </cell>
          <cell r="B11" t="str">
            <v>Talbot Specialist School</v>
          </cell>
          <cell r="C11">
            <v>20644.67021226979</v>
          </cell>
          <cell r="D11">
            <v>619.34010636809364</v>
          </cell>
          <cell r="E11">
            <v>21264.010318637884</v>
          </cell>
          <cell r="F11">
            <v>21924.010318637884</v>
          </cell>
          <cell r="H11">
            <v>21639.001360740811</v>
          </cell>
          <cell r="I11">
            <v>735.72604626518762</v>
          </cell>
        </row>
        <row r="12">
          <cell r="A12">
            <v>7013</v>
          </cell>
          <cell r="B12" t="str">
            <v>The Rowan School</v>
          </cell>
          <cell r="C12">
            <v>19371.828596168099</v>
          </cell>
          <cell r="D12">
            <v>581.15485788504293</v>
          </cell>
          <cell r="E12">
            <v>19952.983454053141</v>
          </cell>
          <cell r="F12">
            <v>20612.983454053141</v>
          </cell>
          <cell r="H12">
            <v>20366.159744639121</v>
          </cell>
          <cell r="I12">
            <v>692.44943131773016</v>
          </cell>
        </row>
        <row r="13">
          <cell r="A13">
            <v>7026</v>
          </cell>
          <cell r="B13" t="str">
            <v>Woolley Wood School</v>
          </cell>
          <cell r="C13">
            <v>20614.888819184613</v>
          </cell>
          <cell r="D13">
            <v>618.44666457553831</v>
          </cell>
          <cell r="E13">
            <v>21233.335483760151</v>
          </cell>
          <cell r="F13">
            <v>21893.335483760151</v>
          </cell>
          <cell r="H13">
            <v>21609.219967655634</v>
          </cell>
          <cell r="I13">
            <v>734.71347890029165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ool Forum 22 23"/>
      <sheetName val="Sheet1"/>
      <sheetName val="Primary Age"/>
      <sheetName val="22 23 rates"/>
      <sheetName val="obsolete"/>
    </sheetNames>
    <sheetDataSet>
      <sheetData sheetId="0">
        <row r="4">
          <cell r="A4">
            <v>7023</v>
          </cell>
        </row>
        <row r="14">
          <cell r="C14">
            <v>1527</v>
          </cell>
          <cell r="G14">
            <v>32283250.938020229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7">
          <cell r="D7">
            <v>3657500</v>
          </cell>
        </row>
        <row r="9">
          <cell r="D9">
            <v>3791476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2021 to 2022 HN Data"/>
      <sheetName val="Place Change Notification (PCN)"/>
      <sheetName val="Hospital Education Template"/>
      <sheetName val="Validation"/>
      <sheetName val="PCN Lookups"/>
    </sheetNames>
    <sheetDataSet>
      <sheetData sheetId="0"/>
      <sheetData sheetId="1">
        <row r="8">
          <cell r="C8">
            <v>3735401</v>
          </cell>
          <cell r="D8">
            <v>138337</v>
          </cell>
          <cell r="E8" t="str">
            <v>ALL SAINTS' CATHOLIC HIGH SCHOOL</v>
          </cell>
          <cell r="F8" t="str">
            <v>ACADEMY - MAINSTREAM</v>
          </cell>
          <cell r="G8">
            <v>0</v>
          </cell>
          <cell r="H8">
            <v>0</v>
          </cell>
          <cell r="I8">
            <v>4</v>
          </cell>
          <cell r="J8">
            <v>4</v>
          </cell>
        </row>
        <row r="9">
          <cell r="C9">
            <v>3737038</v>
          </cell>
          <cell r="D9">
            <v>147136</v>
          </cell>
          <cell r="E9" t="str">
            <v>BECTON SCHOOL</v>
          </cell>
          <cell r="F9" t="str">
            <v>ACADEMY - SPECIAL</v>
          </cell>
          <cell r="G9">
            <v>0</v>
          </cell>
          <cell r="H9">
            <v>48</v>
          </cell>
          <cell r="I9">
            <v>0</v>
          </cell>
          <cell r="J9">
            <v>48</v>
          </cell>
        </row>
        <row r="10">
          <cell r="C10">
            <v>3732323</v>
          </cell>
          <cell r="D10">
            <v>143965</v>
          </cell>
          <cell r="E10" t="str">
            <v>BIRLEY SPA PRIMARY ACADEMY</v>
          </cell>
          <cell r="F10" t="str">
            <v>ACADEMY - MAINSTREAM</v>
          </cell>
          <cell r="G10">
            <v>0</v>
          </cell>
          <cell r="H10">
            <v>0</v>
          </cell>
          <cell r="I10">
            <v>12</v>
          </cell>
          <cell r="J10">
            <v>12</v>
          </cell>
        </row>
        <row r="11">
          <cell r="C11">
            <v>3734007</v>
          </cell>
          <cell r="D11">
            <v>140547</v>
          </cell>
          <cell r="E11" t="str">
            <v>FORGE VALLEY SCHOOL</v>
          </cell>
          <cell r="F11" t="str">
            <v>ACADEMY - MAINSTREAM</v>
          </cell>
          <cell r="G11">
            <v>0</v>
          </cell>
          <cell r="H11">
            <v>0</v>
          </cell>
          <cell r="I11">
            <v>14</v>
          </cell>
          <cell r="J11">
            <v>14</v>
          </cell>
        </row>
        <row r="12">
          <cell r="C12">
            <v>3732010</v>
          </cell>
          <cell r="D12">
            <v>139134</v>
          </cell>
          <cell r="E12" t="str">
            <v>FOX HILL PRIMARY</v>
          </cell>
          <cell r="F12" t="str">
            <v>ACADEMY - MAINSTREAM</v>
          </cell>
          <cell r="G12">
            <v>0</v>
          </cell>
          <cell r="H12">
            <v>0</v>
          </cell>
          <cell r="I12">
            <v>18</v>
          </cell>
          <cell r="J12">
            <v>18</v>
          </cell>
        </row>
        <row r="13">
          <cell r="C13">
            <v>3734230</v>
          </cell>
          <cell r="D13">
            <v>138841</v>
          </cell>
          <cell r="E13" t="str">
            <v>KING ECGBERT SCHOOL</v>
          </cell>
          <cell r="F13" t="str">
            <v>ACADEMY - MAINSTREAM</v>
          </cell>
          <cell r="G13">
            <v>0</v>
          </cell>
          <cell r="H13">
            <v>0</v>
          </cell>
          <cell r="I13">
            <v>24</v>
          </cell>
          <cell r="J13">
            <v>24</v>
          </cell>
        </row>
        <row r="14">
          <cell r="C14">
            <v>3738023</v>
          </cell>
          <cell r="D14">
            <v>144886</v>
          </cell>
          <cell r="E14" t="str">
            <v>LONGLEY PARK SIXTH FORM COLLEGE</v>
          </cell>
          <cell r="F14" t="str">
            <v>ACADEMY - 16-19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>
            <v>3732309</v>
          </cell>
          <cell r="D15">
            <v>146012</v>
          </cell>
          <cell r="E15" t="str">
            <v>NOOK LANE JUNIOR SCHOOL</v>
          </cell>
          <cell r="F15" t="str">
            <v>ACADEMY - MAINSTREAM</v>
          </cell>
          <cell r="G15">
            <v>0</v>
          </cell>
          <cell r="H15">
            <v>0</v>
          </cell>
          <cell r="I15">
            <v>13</v>
          </cell>
          <cell r="J15">
            <v>13</v>
          </cell>
        </row>
        <row r="16">
          <cell r="C16">
            <v>0</v>
          </cell>
          <cell r="D16">
            <v>0</v>
          </cell>
          <cell r="E16" t="str">
            <v>SHEFFIELD CITY COUNCIL</v>
          </cell>
          <cell r="F16" t="str">
            <v>FURTHER EDUCATION PROVIDER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C17">
            <v>3733414</v>
          </cell>
          <cell r="D17">
            <v>138828</v>
          </cell>
          <cell r="E17" t="str">
            <v>ST THOMAS OF CANTERBURY SCHOOL, A CATHOLIC VOLUNTARY ACADEMY</v>
          </cell>
          <cell r="F17" t="str">
            <v>ACADEMY - MAINSTREAM</v>
          </cell>
          <cell r="G17">
            <v>0</v>
          </cell>
          <cell r="H17">
            <v>0</v>
          </cell>
          <cell r="I17">
            <v>18</v>
          </cell>
          <cell r="J17">
            <v>18</v>
          </cell>
        </row>
        <row r="18">
          <cell r="C18">
            <v>3734276</v>
          </cell>
          <cell r="D18">
            <v>143963</v>
          </cell>
          <cell r="E18" t="str">
            <v>THE BIRLEY ACADEMY</v>
          </cell>
          <cell r="F18" t="str">
            <v>ACADEMY - MAINSTREAM</v>
          </cell>
          <cell r="G18">
            <v>0</v>
          </cell>
          <cell r="H18">
            <v>0</v>
          </cell>
          <cell r="I18">
            <v>23</v>
          </cell>
          <cell r="J18">
            <v>23</v>
          </cell>
        </row>
        <row r="19">
          <cell r="C19">
            <v>3738022</v>
          </cell>
          <cell r="D19">
            <v>130531</v>
          </cell>
          <cell r="E19" t="str">
            <v>THE SHEFFIELD COLLEGE</v>
          </cell>
          <cell r="F19" t="str">
            <v>FURTHER EDUCATION PROVIDER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3732311</v>
          </cell>
          <cell r="D20">
            <v>146498</v>
          </cell>
          <cell r="E20" t="str">
            <v>WHARNCLIFFE SIDE PRIMARY SCHOOL</v>
          </cell>
          <cell r="F20" t="str">
            <v>ACADEMY - MAINSTREAM</v>
          </cell>
          <cell r="G20">
            <v>0</v>
          </cell>
          <cell r="H20">
            <v>0</v>
          </cell>
          <cell r="I20">
            <v>22</v>
          </cell>
          <cell r="J20">
            <v>22</v>
          </cell>
        </row>
        <row r="21">
          <cell r="C21">
            <v>3732040</v>
          </cell>
          <cell r="D21">
            <v>147621</v>
          </cell>
          <cell r="E21" t="str">
            <v>WHITEWAYS PRIMARY SCHOOL</v>
          </cell>
          <cell r="F21" t="str">
            <v>ACADEMY - MAINSTREAM</v>
          </cell>
          <cell r="G21">
            <v>0</v>
          </cell>
          <cell r="H21">
            <v>0</v>
          </cell>
          <cell r="I21">
            <v>12</v>
          </cell>
          <cell r="J21">
            <v>12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Sheet2"/>
      <sheetName val="A4 Sheet"/>
      <sheetName val="Sheet1"/>
      <sheetName val="Sheet3"/>
    </sheetNames>
    <sheetDataSet>
      <sheetData sheetId="0"/>
      <sheetData sheetId="1"/>
      <sheetData sheetId="2"/>
      <sheetData sheetId="3">
        <row r="7">
          <cell r="A7">
            <v>3735401</v>
          </cell>
          <cell r="B7">
            <v>5401</v>
          </cell>
          <cell r="C7" t="str">
            <v>All  Saints Catholic</v>
          </cell>
          <cell r="D7">
            <v>4</v>
          </cell>
          <cell r="E7">
            <v>0</v>
          </cell>
          <cell r="F7">
            <v>4</v>
          </cell>
          <cell r="G7">
            <v>24000</v>
          </cell>
          <cell r="H7">
            <v>0</v>
          </cell>
          <cell r="J7">
            <v>4</v>
          </cell>
          <cell r="K7">
            <v>40000</v>
          </cell>
          <cell r="L7">
            <v>5727.1964529711822</v>
          </cell>
          <cell r="N7">
            <v>16000</v>
          </cell>
          <cell r="O7">
            <v>0</v>
          </cell>
          <cell r="P7">
            <v>16000</v>
          </cell>
          <cell r="R7">
            <v>0</v>
          </cell>
          <cell r="T7">
            <v>3</v>
          </cell>
          <cell r="U7">
            <v>1</v>
          </cell>
          <cell r="V7">
            <v>4</v>
          </cell>
          <cell r="W7">
            <v>18000</v>
          </cell>
          <cell r="X7">
            <v>10000</v>
          </cell>
          <cell r="Z7">
            <v>4</v>
          </cell>
          <cell r="AA7">
            <v>40000</v>
          </cell>
          <cell r="AC7">
            <v>12000</v>
          </cell>
          <cell r="AD7">
            <v>0</v>
          </cell>
          <cell r="AE7">
            <v>12000</v>
          </cell>
        </row>
        <row r="8">
          <cell r="A8">
            <v>3733429</v>
          </cell>
          <cell r="B8">
            <v>3429</v>
          </cell>
          <cell r="C8" t="str">
            <v xml:space="preserve">Arbourthorne Community Primary 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15</v>
          </cell>
          <cell r="K8">
            <v>150000</v>
          </cell>
          <cell r="L8">
            <v>5228.9664865153763</v>
          </cell>
          <cell r="N8">
            <v>0</v>
          </cell>
          <cell r="O8">
            <v>150000</v>
          </cell>
          <cell r="P8">
            <v>150000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Z8">
            <v>15</v>
          </cell>
          <cell r="AA8">
            <v>150000</v>
          </cell>
          <cell r="AC8">
            <v>0</v>
          </cell>
          <cell r="AD8">
            <v>150000</v>
          </cell>
          <cell r="AE8">
            <v>150000</v>
          </cell>
        </row>
        <row r="9">
          <cell r="A9">
            <v>3732274</v>
          </cell>
          <cell r="B9">
            <v>2274</v>
          </cell>
          <cell r="C9" t="str">
            <v>Beck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8</v>
          </cell>
          <cell r="K9">
            <v>80000</v>
          </cell>
          <cell r="L9">
            <v>4786.5247913732474</v>
          </cell>
          <cell r="N9">
            <v>0</v>
          </cell>
          <cell r="O9">
            <v>80000</v>
          </cell>
          <cell r="P9">
            <v>80000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Z9">
            <v>8</v>
          </cell>
          <cell r="AA9">
            <v>80000</v>
          </cell>
          <cell r="AC9">
            <v>0</v>
          </cell>
          <cell r="AD9">
            <v>80000</v>
          </cell>
          <cell r="AE9">
            <v>80000</v>
          </cell>
        </row>
        <row r="10">
          <cell r="A10">
            <v>3734276</v>
          </cell>
          <cell r="B10">
            <v>4276</v>
          </cell>
          <cell r="C10" t="str">
            <v>The Birley Academy</v>
          </cell>
          <cell r="D10">
            <v>19</v>
          </cell>
          <cell r="E10">
            <v>4</v>
          </cell>
          <cell r="F10">
            <v>23</v>
          </cell>
          <cell r="G10">
            <v>114000</v>
          </cell>
          <cell r="H10">
            <v>40000</v>
          </cell>
          <cell r="J10">
            <v>23</v>
          </cell>
          <cell r="K10">
            <v>230000</v>
          </cell>
          <cell r="L10">
            <v>5766.7966040743495</v>
          </cell>
          <cell r="N10">
            <v>92000</v>
          </cell>
          <cell r="O10">
            <v>-16000</v>
          </cell>
          <cell r="P10">
            <v>76000</v>
          </cell>
          <cell r="R10">
            <v>0</v>
          </cell>
          <cell r="T10">
            <v>17</v>
          </cell>
          <cell r="U10">
            <v>6</v>
          </cell>
          <cell r="V10">
            <v>23</v>
          </cell>
          <cell r="W10">
            <v>102000</v>
          </cell>
          <cell r="X10">
            <v>60000</v>
          </cell>
          <cell r="Z10">
            <v>23</v>
          </cell>
          <cell r="AA10">
            <v>230000</v>
          </cell>
          <cell r="AC10">
            <v>68000</v>
          </cell>
          <cell r="AD10">
            <v>0</v>
          </cell>
          <cell r="AE10">
            <v>68000</v>
          </cell>
        </row>
        <row r="11">
          <cell r="A11">
            <v>3732323</v>
          </cell>
          <cell r="B11">
            <v>2323</v>
          </cell>
          <cell r="C11" t="str">
            <v>Birley Spa Community Primary</v>
          </cell>
          <cell r="D11">
            <v>9</v>
          </cell>
          <cell r="E11">
            <v>3</v>
          </cell>
          <cell r="F11">
            <v>12</v>
          </cell>
          <cell r="G11">
            <v>54000</v>
          </cell>
          <cell r="H11">
            <v>30000</v>
          </cell>
          <cell r="J11">
            <v>11</v>
          </cell>
          <cell r="K11">
            <v>110000</v>
          </cell>
          <cell r="L11">
            <v>4540.8127310574901</v>
          </cell>
          <cell r="N11">
            <v>48000</v>
          </cell>
          <cell r="O11">
            <v>-22000</v>
          </cell>
          <cell r="P11">
            <v>26000</v>
          </cell>
          <cell r="R11">
            <v>0</v>
          </cell>
          <cell r="T11">
            <v>10</v>
          </cell>
          <cell r="U11">
            <v>0</v>
          </cell>
          <cell r="V11">
            <v>10</v>
          </cell>
          <cell r="W11">
            <v>60000</v>
          </cell>
          <cell r="X11">
            <v>0</v>
          </cell>
          <cell r="Z11">
            <v>11</v>
          </cell>
          <cell r="AA11">
            <v>110000</v>
          </cell>
          <cell r="AC11">
            <v>40000</v>
          </cell>
          <cell r="AD11">
            <v>10000</v>
          </cell>
          <cell r="AE11">
            <v>50000</v>
          </cell>
        </row>
        <row r="12">
          <cell r="A12">
            <v>3734007</v>
          </cell>
          <cell r="B12">
            <v>4007</v>
          </cell>
          <cell r="C12" t="str">
            <v xml:space="preserve">Forge Valley Community </v>
          </cell>
          <cell r="D12">
            <v>14</v>
          </cell>
          <cell r="E12">
            <v>0</v>
          </cell>
          <cell r="F12">
            <v>14</v>
          </cell>
          <cell r="G12">
            <v>84000</v>
          </cell>
          <cell r="H12">
            <v>0</v>
          </cell>
          <cell r="J12">
            <v>20</v>
          </cell>
          <cell r="K12">
            <v>200000</v>
          </cell>
          <cell r="L12">
            <v>5456.6556668045932</v>
          </cell>
          <cell r="N12">
            <v>56000</v>
          </cell>
          <cell r="O12">
            <v>60000</v>
          </cell>
          <cell r="P12">
            <v>116000</v>
          </cell>
          <cell r="R12">
            <v>0</v>
          </cell>
          <cell r="T12">
            <v>15</v>
          </cell>
          <cell r="U12">
            <v>0</v>
          </cell>
          <cell r="V12">
            <v>15</v>
          </cell>
          <cell r="W12">
            <v>90000</v>
          </cell>
          <cell r="X12">
            <v>0</v>
          </cell>
          <cell r="Z12">
            <v>20</v>
          </cell>
          <cell r="AA12">
            <v>200000</v>
          </cell>
          <cell r="AC12">
            <v>60000</v>
          </cell>
          <cell r="AD12">
            <v>50000</v>
          </cell>
          <cell r="AE12">
            <v>110000</v>
          </cell>
        </row>
        <row r="13">
          <cell r="A13">
            <v>3732010</v>
          </cell>
          <cell r="B13">
            <v>2010</v>
          </cell>
          <cell r="C13" t="str">
            <v>Fox Hill Primary</v>
          </cell>
          <cell r="D13">
            <v>18</v>
          </cell>
          <cell r="E13">
            <v>0</v>
          </cell>
          <cell r="F13">
            <v>18</v>
          </cell>
          <cell r="G13">
            <v>108000</v>
          </cell>
          <cell r="H13">
            <v>0</v>
          </cell>
          <cell r="J13">
            <v>19</v>
          </cell>
          <cell r="K13">
            <v>190000</v>
          </cell>
          <cell r="L13">
            <v>5360.8964477020036</v>
          </cell>
          <cell r="N13">
            <v>72000</v>
          </cell>
          <cell r="O13">
            <v>10000</v>
          </cell>
          <cell r="P13">
            <v>82000</v>
          </cell>
          <cell r="R13">
            <v>0</v>
          </cell>
          <cell r="T13">
            <v>18</v>
          </cell>
          <cell r="U13">
            <v>0</v>
          </cell>
          <cell r="V13">
            <v>18</v>
          </cell>
          <cell r="W13">
            <v>108000</v>
          </cell>
          <cell r="X13">
            <v>0</v>
          </cell>
          <cell r="Z13">
            <v>19</v>
          </cell>
          <cell r="AA13">
            <v>190000</v>
          </cell>
          <cell r="AC13">
            <v>72000</v>
          </cell>
          <cell r="AD13">
            <v>10000</v>
          </cell>
          <cell r="AE13">
            <v>82000</v>
          </cell>
        </row>
        <row r="14">
          <cell r="A14">
            <v>3732337</v>
          </cell>
          <cell r="B14">
            <v>2337</v>
          </cell>
          <cell r="C14" t="str">
            <v>Hucklow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13</v>
          </cell>
          <cell r="K14">
            <v>130000</v>
          </cell>
          <cell r="L14">
            <v>5012.0653113794961</v>
          </cell>
          <cell r="N14">
            <v>0</v>
          </cell>
          <cell r="O14">
            <v>130000</v>
          </cell>
          <cell r="P14">
            <v>130000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13</v>
          </cell>
          <cell r="AA14">
            <v>130000</v>
          </cell>
          <cell r="AC14">
            <v>0</v>
          </cell>
          <cell r="AD14">
            <v>130000</v>
          </cell>
          <cell r="AE14">
            <v>130000</v>
          </cell>
        </row>
        <row r="15">
          <cell r="A15">
            <v>3734230</v>
          </cell>
          <cell r="B15">
            <v>4230</v>
          </cell>
          <cell r="C15" t="str">
            <v>King Ecgbert School</v>
          </cell>
          <cell r="D15">
            <v>24</v>
          </cell>
          <cell r="E15">
            <v>0</v>
          </cell>
          <cell r="F15">
            <v>24</v>
          </cell>
          <cell r="G15">
            <v>144000</v>
          </cell>
          <cell r="H15">
            <v>0</v>
          </cell>
          <cell r="J15">
            <v>34</v>
          </cell>
          <cell r="K15">
            <v>340000</v>
          </cell>
          <cell r="L15">
            <v>6011.3794970159015</v>
          </cell>
          <cell r="N15">
            <v>96000</v>
          </cell>
          <cell r="O15">
            <v>100000</v>
          </cell>
          <cell r="P15">
            <v>196000</v>
          </cell>
          <cell r="R15">
            <v>0</v>
          </cell>
          <cell r="T15">
            <v>28</v>
          </cell>
          <cell r="U15">
            <v>0</v>
          </cell>
          <cell r="V15">
            <v>28</v>
          </cell>
          <cell r="W15">
            <v>168000</v>
          </cell>
          <cell r="X15">
            <v>0</v>
          </cell>
          <cell r="Z15">
            <v>34</v>
          </cell>
          <cell r="AA15">
            <v>340000</v>
          </cell>
          <cell r="AC15">
            <v>112000</v>
          </cell>
          <cell r="AD15">
            <v>60000</v>
          </cell>
          <cell r="AE15">
            <v>172000</v>
          </cell>
        </row>
        <row r="16">
          <cell r="A16">
            <v>3732359</v>
          </cell>
          <cell r="B16">
            <v>2359</v>
          </cell>
          <cell r="C16" t="str">
            <v>Manor Lodge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10</v>
          </cell>
          <cell r="K16">
            <v>100000</v>
          </cell>
          <cell r="N16">
            <v>0</v>
          </cell>
          <cell r="O16">
            <v>100000</v>
          </cell>
          <cell r="P16">
            <v>100000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10</v>
          </cell>
          <cell r="AA16">
            <v>100000</v>
          </cell>
          <cell r="AC16">
            <v>0</v>
          </cell>
          <cell r="AD16">
            <v>100000</v>
          </cell>
          <cell r="AE16">
            <v>100000</v>
          </cell>
        </row>
        <row r="17">
          <cell r="A17">
            <v>3732087</v>
          </cell>
          <cell r="B17">
            <v>2087</v>
          </cell>
          <cell r="C17" t="str">
            <v xml:space="preserve">Nether Green Junior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14</v>
          </cell>
          <cell r="K17">
            <v>140000</v>
          </cell>
          <cell r="L17">
            <v>4236.3716577540117</v>
          </cell>
          <cell r="N17">
            <v>0</v>
          </cell>
          <cell r="O17">
            <v>140000</v>
          </cell>
          <cell r="P17">
            <v>140000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14</v>
          </cell>
          <cell r="AA17">
            <v>140000</v>
          </cell>
          <cell r="AC17">
            <v>0</v>
          </cell>
          <cell r="AD17">
            <v>140000</v>
          </cell>
          <cell r="AE17">
            <v>140000</v>
          </cell>
        </row>
        <row r="18">
          <cell r="A18">
            <v>3732309</v>
          </cell>
          <cell r="B18">
            <v>2309</v>
          </cell>
          <cell r="C18" t="str">
            <v xml:space="preserve">Nook Lane Junior </v>
          </cell>
          <cell r="D18">
            <v>12</v>
          </cell>
          <cell r="E18">
            <v>1</v>
          </cell>
          <cell r="F18">
            <v>13</v>
          </cell>
          <cell r="G18">
            <v>72000</v>
          </cell>
          <cell r="H18">
            <v>10000</v>
          </cell>
          <cell r="J18">
            <v>13</v>
          </cell>
          <cell r="K18">
            <v>130000</v>
          </cell>
          <cell r="L18">
            <v>4325.9004769573694</v>
          </cell>
          <cell r="N18">
            <v>52000</v>
          </cell>
          <cell r="O18">
            <v>-4000</v>
          </cell>
          <cell r="P18">
            <v>48000</v>
          </cell>
          <cell r="R18">
            <v>0</v>
          </cell>
          <cell r="T18">
            <v>13</v>
          </cell>
          <cell r="U18">
            <v>0</v>
          </cell>
          <cell r="V18">
            <v>13</v>
          </cell>
          <cell r="W18">
            <v>78000</v>
          </cell>
          <cell r="X18">
            <v>0</v>
          </cell>
          <cell r="Z18">
            <v>13</v>
          </cell>
          <cell r="AA18">
            <v>130000</v>
          </cell>
          <cell r="AC18">
            <v>52000</v>
          </cell>
          <cell r="AD18">
            <v>0</v>
          </cell>
          <cell r="AE18">
            <v>52000</v>
          </cell>
        </row>
        <row r="19">
          <cell r="A19">
            <v>3733414</v>
          </cell>
          <cell r="B19">
            <v>3414</v>
          </cell>
          <cell r="C19" t="str">
            <v>St. Thomas of Canterbury Catholic Primary</v>
          </cell>
          <cell r="D19">
            <v>15</v>
          </cell>
          <cell r="E19">
            <v>3</v>
          </cell>
          <cell r="F19">
            <v>18</v>
          </cell>
          <cell r="G19">
            <v>90000</v>
          </cell>
          <cell r="H19">
            <v>30000</v>
          </cell>
          <cell r="J19">
            <v>18</v>
          </cell>
          <cell r="K19">
            <v>180000</v>
          </cell>
          <cell r="L19">
            <v>4360.3298112930797</v>
          </cell>
          <cell r="N19">
            <v>72000</v>
          </cell>
          <cell r="O19">
            <v>-12000</v>
          </cell>
          <cell r="P19">
            <v>60000</v>
          </cell>
          <cell r="R19">
            <v>0</v>
          </cell>
          <cell r="T19">
            <v>18</v>
          </cell>
          <cell r="U19">
            <v>0</v>
          </cell>
          <cell r="V19">
            <v>18</v>
          </cell>
          <cell r="W19">
            <v>108000</v>
          </cell>
          <cell r="X19">
            <v>0</v>
          </cell>
          <cell r="Z19">
            <v>18</v>
          </cell>
          <cell r="AA19">
            <v>180000</v>
          </cell>
          <cell r="AC19">
            <v>72000</v>
          </cell>
          <cell r="AD19">
            <v>0</v>
          </cell>
          <cell r="AE19">
            <v>72000</v>
          </cell>
        </row>
        <row r="20">
          <cell r="A20">
            <v>3732350</v>
          </cell>
          <cell r="B20">
            <v>2350</v>
          </cell>
          <cell r="C20" t="str">
            <v>Stradbroke Primary School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20</v>
          </cell>
          <cell r="K20">
            <v>200000</v>
          </cell>
          <cell r="L20">
            <v>4797.2219228464583</v>
          </cell>
          <cell r="N20">
            <v>0</v>
          </cell>
          <cell r="O20">
            <v>200000</v>
          </cell>
          <cell r="P20">
            <v>200000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20</v>
          </cell>
          <cell r="AA20">
            <v>200000</v>
          </cell>
          <cell r="AC20">
            <v>0</v>
          </cell>
          <cell r="AD20">
            <v>200000</v>
          </cell>
          <cell r="AE20">
            <v>200000</v>
          </cell>
        </row>
        <row r="21">
          <cell r="A21">
            <v>3732311</v>
          </cell>
          <cell r="B21">
            <v>2311</v>
          </cell>
          <cell r="C21" t="str">
            <v xml:space="preserve">Wharncliffe Side Primary </v>
          </cell>
          <cell r="D21">
            <v>18</v>
          </cell>
          <cell r="E21">
            <v>4</v>
          </cell>
          <cell r="F21">
            <v>22</v>
          </cell>
          <cell r="G21">
            <v>108000</v>
          </cell>
          <cell r="H21">
            <v>40000</v>
          </cell>
          <cell r="J21">
            <v>22</v>
          </cell>
          <cell r="K21">
            <v>220000</v>
          </cell>
          <cell r="L21">
            <v>5043.3822956890317</v>
          </cell>
          <cell r="N21">
            <v>88000</v>
          </cell>
          <cell r="O21">
            <v>-16000</v>
          </cell>
          <cell r="P21">
            <v>72000</v>
          </cell>
          <cell r="R21">
            <v>0</v>
          </cell>
          <cell r="T21">
            <v>22</v>
          </cell>
          <cell r="U21">
            <v>0</v>
          </cell>
          <cell r="V21">
            <v>22</v>
          </cell>
          <cell r="W21">
            <v>132000</v>
          </cell>
          <cell r="X21">
            <v>0</v>
          </cell>
          <cell r="Z21">
            <v>22</v>
          </cell>
          <cell r="AA21">
            <v>220000</v>
          </cell>
          <cell r="AC21">
            <v>88000</v>
          </cell>
          <cell r="AD21">
            <v>0</v>
          </cell>
          <cell r="AE21">
            <v>88000</v>
          </cell>
        </row>
        <row r="22">
          <cell r="A22">
            <v>3732040</v>
          </cell>
          <cell r="B22">
            <v>2040</v>
          </cell>
          <cell r="C22" t="str">
            <v>Whiteways</v>
          </cell>
          <cell r="D22">
            <v>5</v>
          </cell>
          <cell r="E22">
            <v>7</v>
          </cell>
          <cell r="F22">
            <v>12</v>
          </cell>
          <cell r="G22">
            <v>30000</v>
          </cell>
          <cell r="H22">
            <v>70000</v>
          </cell>
          <cell r="J22">
            <v>10</v>
          </cell>
          <cell r="K22">
            <v>100000</v>
          </cell>
          <cell r="L22">
            <v>5127.8263418609122</v>
          </cell>
          <cell r="N22">
            <v>48000</v>
          </cell>
          <cell r="O22">
            <v>-48000</v>
          </cell>
          <cell r="P22">
            <v>0</v>
          </cell>
          <cell r="R22">
            <v>0</v>
          </cell>
          <cell r="T22">
            <v>10</v>
          </cell>
          <cell r="U22">
            <v>0</v>
          </cell>
          <cell r="V22">
            <v>10</v>
          </cell>
          <cell r="W22">
            <v>60000</v>
          </cell>
          <cell r="X22">
            <v>0</v>
          </cell>
          <cell r="Z22">
            <v>10</v>
          </cell>
          <cell r="AA22">
            <v>100000</v>
          </cell>
          <cell r="AC22">
            <v>40000</v>
          </cell>
          <cell r="AD22">
            <v>0</v>
          </cell>
          <cell r="AE22">
            <v>40000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5-16 submitted baselines"/>
      <sheetName val="15-16 submitted HN places"/>
      <sheetName val="Inputs &amp; Adjustments"/>
      <sheetName val="Local Factors"/>
      <sheetName val="15-16 final baselines"/>
      <sheetName val="Adjusted Factor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AB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E6">
            <v>3732004</v>
          </cell>
        </row>
      </sheetData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R Summary"/>
      <sheetName val="Places deducted"/>
      <sheetName val="HN Places AY 2122"/>
      <sheetName val="HN Places AY 2223"/>
    </sheetNames>
    <sheetDataSet>
      <sheetData sheetId="0" refreshError="1"/>
      <sheetData sheetId="1">
        <row r="1">
          <cell r="E1" t="str">
            <v>2021/22</v>
          </cell>
          <cell r="J1" t="str">
            <v>2022/23</v>
          </cell>
        </row>
        <row r="2">
          <cell r="D2" t="str">
            <v>Funded</v>
          </cell>
          <cell r="E2" t="str">
            <v>Special occupied</v>
          </cell>
          <cell r="F2" t="str">
            <v>Special unoccupied</v>
          </cell>
          <cell r="G2" t="str">
            <v>Top up Funding</v>
          </cell>
          <cell r="I2" t="str">
            <v>Funded</v>
          </cell>
          <cell r="J2" t="str">
            <v>Special occupied</v>
          </cell>
          <cell r="K2" t="str">
            <v>Special unoccupied</v>
          </cell>
          <cell r="L2" t="str">
            <v>Top up Funding</v>
          </cell>
        </row>
        <row r="3">
          <cell r="E3">
            <v>6000</v>
          </cell>
          <cell r="F3">
            <v>10000</v>
          </cell>
          <cell r="J3">
            <v>6000</v>
          </cell>
          <cell r="K3">
            <v>10000</v>
          </cell>
        </row>
        <row r="7">
          <cell r="B7" t="str">
            <v>DfE</v>
          </cell>
        </row>
        <row r="8">
          <cell r="B8">
            <v>5401</v>
          </cell>
          <cell r="C8" t="str">
            <v>All  Saints Catholic</v>
          </cell>
          <cell r="D8">
            <v>4</v>
          </cell>
          <cell r="E8">
            <v>4</v>
          </cell>
          <cell r="F8">
            <v>0</v>
          </cell>
          <cell r="G8">
            <v>0</v>
          </cell>
          <cell r="I8">
            <v>4</v>
          </cell>
          <cell r="J8">
            <v>3</v>
          </cell>
          <cell r="K8">
            <v>1</v>
          </cell>
          <cell r="L8">
            <v>0</v>
          </cell>
        </row>
        <row r="9">
          <cell r="B9">
            <v>3429</v>
          </cell>
          <cell r="C9" t="str">
            <v xml:space="preserve">Arbourthorne Community Primary </v>
          </cell>
          <cell r="D9">
            <v>15</v>
          </cell>
          <cell r="E9">
            <v>0</v>
          </cell>
          <cell r="F9">
            <v>0</v>
          </cell>
          <cell r="G9">
            <v>15</v>
          </cell>
          <cell r="I9">
            <v>15</v>
          </cell>
          <cell r="J9">
            <v>0</v>
          </cell>
          <cell r="K9">
            <v>0</v>
          </cell>
          <cell r="L9">
            <v>15</v>
          </cell>
        </row>
        <row r="10">
          <cell r="B10">
            <v>2274</v>
          </cell>
          <cell r="C10" t="str">
            <v>Beck</v>
          </cell>
          <cell r="D10">
            <v>8</v>
          </cell>
          <cell r="E10">
            <v>0</v>
          </cell>
          <cell r="F10">
            <v>0</v>
          </cell>
          <cell r="G10">
            <v>8</v>
          </cell>
          <cell r="I10">
            <v>8</v>
          </cell>
          <cell r="J10">
            <v>0</v>
          </cell>
          <cell r="K10">
            <v>0</v>
          </cell>
          <cell r="L10">
            <v>8</v>
          </cell>
        </row>
        <row r="11">
          <cell r="B11">
            <v>4276</v>
          </cell>
          <cell r="C11" t="str">
            <v>The Birley Academy</v>
          </cell>
          <cell r="D11">
            <v>23</v>
          </cell>
          <cell r="E11">
            <v>19</v>
          </cell>
          <cell r="F11">
            <v>4</v>
          </cell>
          <cell r="G11">
            <v>0</v>
          </cell>
          <cell r="I11">
            <v>23</v>
          </cell>
          <cell r="J11">
            <v>17</v>
          </cell>
          <cell r="K11">
            <v>6</v>
          </cell>
          <cell r="L11">
            <v>0</v>
          </cell>
        </row>
        <row r="12">
          <cell r="B12">
            <v>2323</v>
          </cell>
          <cell r="C12" t="str">
            <v>Birley Spa Community Primary</v>
          </cell>
          <cell r="D12">
            <v>11</v>
          </cell>
          <cell r="E12">
            <v>9</v>
          </cell>
          <cell r="F12">
            <v>3</v>
          </cell>
          <cell r="G12">
            <v>-1</v>
          </cell>
          <cell r="I12">
            <v>11</v>
          </cell>
          <cell r="J12">
            <v>10</v>
          </cell>
          <cell r="K12">
            <v>0</v>
          </cell>
          <cell r="L12">
            <v>1</v>
          </cell>
        </row>
        <row r="13">
          <cell r="B13">
            <v>4007</v>
          </cell>
          <cell r="C13" t="str">
            <v xml:space="preserve">Forge Valley Community </v>
          </cell>
          <cell r="D13">
            <v>20</v>
          </cell>
          <cell r="E13">
            <v>14</v>
          </cell>
          <cell r="F13">
            <v>0</v>
          </cell>
          <cell r="G13">
            <v>6</v>
          </cell>
          <cell r="I13">
            <v>20</v>
          </cell>
          <cell r="J13">
            <v>15</v>
          </cell>
          <cell r="K13">
            <v>0</v>
          </cell>
          <cell r="L13">
            <v>5</v>
          </cell>
        </row>
        <row r="14">
          <cell r="B14">
            <v>2010</v>
          </cell>
          <cell r="C14" t="str">
            <v>Fox Hill Primary</v>
          </cell>
          <cell r="D14">
            <v>19</v>
          </cell>
          <cell r="E14">
            <v>18</v>
          </cell>
          <cell r="F14">
            <v>0</v>
          </cell>
          <cell r="G14">
            <v>1</v>
          </cell>
          <cell r="I14">
            <v>19</v>
          </cell>
          <cell r="J14">
            <v>18</v>
          </cell>
          <cell r="K14">
            <v>0</v>
          </cell>
          <cell r="L14">
            <v>1</v>
          </cell>
        </row>
        <row r="15">
          <cell r="B15">
            <v>2337</v>
          </cell>
          <cell r="C15" t="str">
            <v>Hucklow</v>
          </cell>
          <cell r="D15">
            <v>13</v>
          </cell>
          <cell r="E15">
            <v>0</v>
          </cell>
          <cell r="F15">
            <v>0</v>
          </cell>
          <cell r="G15">
            <v>13</v>
          </cell>
          <cell r="I15">
            <v>13</v>
          </cell>
          <cell r="J15">
            <v>0</v>
          </cell>
          <cell r="K15">
            <v>0</v>
          </cell>
          <cell r="L15">
            <v>13</v>
          </cell>
        </row>
        <row r="16">
          <cell r="B16">
            <v>4230</v>
          </cell>
          <cell r="C16" t="str">
            <v>King Ecgbert School</v>
          </cell>
          <cell r="D16">
            <v>34</v>
          </cell>
          <cell r="E16">
            <v>24</v>
          </cell>
          <cell r="F16">
            <v>0</v>
          </cell>
          <cell r="G16">
            <v>10</v>
          </cell>
          <cell r="I16">
            <v>34</v>
          </cell>
          <cell r="J16">
            <v>28</v>
          </cell>
          <cell r="K16">
            <v>0</v>
          </cell>
          <cell r="L16">
            <v>6</v>
          </cell>
        </row>
        <row r="17">
          <cell r="B17">
            <v>2359</v>
          </cell>
          <cell r="C17" t="str">
            <v>Manor Lodge</v>
          </cell>
          <cell r="D17">
            <v>10</v>
          </cell>
          <cell r="E17">
            <v>0</v>
          </cell>
          <cell r="F17">
            <v>0</v>
          </cell>
          <cell r="G17">
            <v>10</v>
          </cell>
          <cell r="I17">
            <v>10</v>
          </cell>
          <cell r="J17">
            <v>0</v>
          </cell>
          <cell r="K17">
            <v>0</v>
          </cell>
          <cell r="L17">
            <v>10</v>
          </cell>
        </row>
        <row r="18">
          <cell r="B18">
            <v>2087</v>
          </cell>
          <cell r="C18" t="str">
            <v xml:space="preserve">Nether Green Junior </v>
          </cell>
          <cell r="D18">
            <v>14</v>
          </cell>
          <cell r="E18">
            <v>0</v>
          </cell>
          <cell r="F18">
            <v>0</v>
          </cell>
          <cell r="G18">
            <v>14</v>
          </cell>
          <cell r="I18">
            <v>14</v>
          </cell>
          <cell r="J18">
            <v>0</v>
          </cell>
          <cell r="K18">
            <v>0</v>
          </cell>
          <cell r="L18">
            <v>14</v>
          </cell>
        </row>
        <row r="19">
          <cell r="B19">
            <v>2309</v>
          </cell>
          <cell r="C19" t="str">
            <v xml:space="preserve">Nook Lane Junior </v>
          </cell>
          <cell r="D19">
            <v>13</v>
          </cell>
          <cell r="E19">
            <v>12</v>
          </cell>
          <cell r="F19">
            <v>1</v>
          </cell>
          <cell r="G19">
            <v>0</v>
          </cell>
          <cell r="I19">
            <v>13</v>
          </cell>
          <cell r="J19">
            <v>13</v>
          </cell>
          <cell r="K19">
            <v>0</v>
          </cell>
          <cell r="L19">
            <v>0</v>
          </cell>
        </row>
        <row r="20">
          <cell r="B20">
            <v>3414</v>
          </cell>
          <cell r="C20" t="str">
            <v>St. Thomas of Canterbury Catholic Primary</v>
          </cell>
          <cell r="D20">
            <v>18</v>
          </cell>
          <cell r="E20">
            <v>15</v>
          </cell>
          <cell r="F20">
            <v>3</v>
          </cell>
          <cell r="G20">
            <v>0</v>
          </cell>
          <cell r="I20">
            <v>18</v>
          </cell>
          <cell r="J20">
            <v>18</v>
          </cell>
          <cell r="K20">
            <v>0</v>
          </cell>
          <cell r="L20">
            <v>0</v>
          </cell>
        </row>
        <row r="21">
          <cell r="B21">
            <v>2350</v>
          </cell>
          <cell r="C21" t="str">
            <v>Stradbroke Primary School</v>
          </cell>
          <cell r="D21">
            <v>20</v>
          </cell>
          <cell r="E21">
            <v>0</v>
          </cell>
          <cell r="F21">
            <v>0</v>
          </cell>
          <cell r="G21">
            <v>20</v>
          </cell>
          <cell r="I21">
            <v>20</v>
          </cell>
          <cell r="J21">
            <v>0</v>
          </cell>
          <cell r="K21">
            <v>0</v>
          </cell>
          <cell r="L21">
            <v>20</v>
          </cell>
        </row>
        <row r="22">
          <cell r="B22">
            <v>2311</v>
          </cell>
          <cell r="C22" t="str">
            <v xml:space="preserve">Wharncliffe Side Primary </v>
          </cell>
          <cell r="D22">
            <v>22</v>
          </cell>
          <cell r="E22">
            <v>18</v>
          </cell>
          <cell r="F22">
            <v>4</v>
          </cell>
          <cell r="G22">
            <v>0</v>
          </cell>
          <cell r="I22">
            <v>22</v>
          </cell>
          <cell r="J22">
            <v>22</v>
          </cell>
          <cell r="K22">
            <v>0</v>
          </cell>
          <cell r="L22">
            <v>0</v>
          </cell>
        </row>
        <row r="23">
          <cell r="B23">
            <v>2040</v>
          </cell>
          <cell r="C23" t="str">
            <v>Whiteways</v>
          </cell>
          <cell r="D23">
            <v>10</v>
          </cell>
          <cell r="E23">
            <v>5</v>
          </cell>
          <cell r="F23">
            <v>7</v>
          </cell>
          <cell r="G23">
            <v>-2</v>
          </cell>
          <cell r="I23">
            <v>10</v>
          </cell>
          <cell r="J23">
            <v>10</v>
          </cell>
          <cell r="K23">
            <v>0</v>
          </cell>
          <cell r="L23">
            <v>0</v>
          </cell>
        </row>
        <row r="24">
          <cell r="C24" t="str">
            <v xml:space="preserve">Total </v>
          </cell>
          <cell r="D24">
            <v>254</v>
          </cell>
          <cell r="E24">
            <v>138</v>
          </cell>
          <cell r="F24">
            <v>22</v>
          </cell>
          <cell r="G24">
            <v>94</v>
          </cell>
          <cell r="I24">
            <v>254</v>
          </cell>
          <cell r="J24">
            <v>154</v>
          </cell>
          <cell r="K24">
            <v>7</v>
          </cell>
          <cell r="L24">
            <v>93</v>
          </cell>
        </row>
      </sheetData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/>
      <sheetData sheetId="1">
        <row r="22">
          <cell r="E22">
            <v>16000</v>
          </cell>
        </row>
        <row r="26">
          <cell r="F26">
            <v>6666.666666666667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"/>
      <sheetName val="Cover"/>
      <sheetName val="2020 to 2021 HN Data"/>
      <sheetName val="Place Change Notification (PCN)"/>
      <sheetName val="Hospital Education Template"/>
      <sheetName val="Validation"/>
      <sheetName val="PCN Lookups"/>
    </sheetNames>
    <sheetDataSet>
      <sheetData sheetId="0"/>
      <sheetData sheetId="1"/>
      <sheetData sheetId="2">
        <row r="8">
          <cell r="I8">
            <v>4</v>
          </cell>
        </row>
        <row r="10">
          <cell r="I10">
            <v>12</v>
          </cell>
        </row>
        <row r="11">
          <cell r="I11">
            <v>14</v>
          </cell>
        </row>
        <row r="12">
          <cell r="I12">
            <v>18</v>
          </cell>
        </row>
        <row r="13">
          <cell r="I13">
            <v>24</v>
          </cell>
        </row>
        <row r="17">
          <cell r="I17">
            <v>18</v>
          </cell>
        </row>
        <row r="18">
          <cell r="I18">
            <v>23</v>
          </cell>
        </row>
        <row r="20">
          <cell r="I20">
            <v>22</v>
          </cell>
        </row>
      </sheetData>
      <sheetData sheetId="3">
        <row r="14">
          <cell r="G14">
            <v>3732274</v>
          </cell>
        </row>
        <row r="15">
          <cell r="G15">
            <v>3732337</v>
          </cell>
          <cell r="H15" t="str">
            <v>Hucklow</v>
          </cell>
        </row>
        <row r="16">
          <cell r="G16">
            <v>3732040</v>
          </cell>
          <cell r="H16" t="str">
            <v>Whiteways</v>
          </cell>
        </row>
      </sheetData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/>
      <sheetData sheetId="1">
        <row r="26">
          <cell r="F26">
            <v>33333.333333333336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31666.666666666668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18784.010609214576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/>
      <sheetData sheetId="1">
        <row r="26">
          <cell r="F26">
            <v>36400.373519875837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54166.666666666664</v>
          </cell>
        </row>
      </sheetData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 Sheet"/>
    </sheetNames>
    <sheetDataSet>
      <sheetData sheetId="0">
        <row r="26">
          <cell r="F26">
            <v>106714.08123756625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25969.125198732236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9-20 submitted baselines"/>
      <sheetName val="19-20 HN places"/>
      <sheetName val="Proposed Free Schools"/>
      <sheetName val="Inputs &amp; Adjustments"/>
      <sheetName val="Local Factors"/>
      <sheetName val="Adjusted Factors"/>
      <sheetName val="19-20 final baselines"/>
      <sheetName val="Commentary"/>
      <sheetName val="ProformaAggregation"/>
      <sheetName val="Proforma"/>
      <sheetName val="Block transfers"/>
      <sheetName val="De Delegation"/>
      <sheetName val="Education Functions"/>
      <sheetName val="New ISB"/>
      <sheetName val="School level SB"/>
      <sheetName val="Recoupment"/>
      <sheetName val="Validation sheet"/>
      <sheetName val="202021_P2_APT_373_Sheffieldv1"/>
    </sheetNames>
    <sheetDataSet>
      <sheetData sheetId="0"/>
      <sheetData sheetId="1"/>
      <sheetData sheetId="2">
        <row r="1">
          <cell r="B1">
            <v>0</v>
          </cell>
        </row>
      </sheetData>
      <sheetData sheetId="3"/>
      <sheetData sheetId="4">
        <row r="4">
          <cell r="A4" t="str">
            <v>LA Estab</v>
          </cell>
        </row>
      </sheetData>
      <sheetData sheetId="5"/>
      <sheetData sheetId="6">
        <row r="6">
          <cell r="DC6" t="str">
            <v>School closed prior to 1 April 2020</v>
          </cell>
        </row>
        <row r="7">
          <cell r="DC7" t="str">
            <v>New School opening prior to 1 April 2020</v>
          </cell>
        </row>
        <row r="8">
          <cell r="DC8" t="str">
            <v>New School opening after 1 April 2020</v>
          </cell>
        </row>
        <row r="9">
          <cell r="DC9" t="str">
            <v>Amalgamation of schools by 1 April 2020</v>
          </cell>
        </row>
        <row r="10">
          <cell r="DC10" t="str">
            <v>Change in pupil numbers/factors</v>
          </cell>
        </row>
        <row r="11">
          <cell r="DC11" t="str">
            <v>Conversion to academy status prior to 6 January 2020</v>
          </cell>
        </row>
        <row r="12">
          <cell r="DC12" t="str">
            <v>New Academy/Free School</v>
          </cell>
        </row>
        <row r="13">
          <cell r="DC13" t="str">
            <v>Other</v>
          </cell>
        </row>
      </sheetData>
      <sheetData sheetId="7">
        <row r="5">
          <cell r="AA5">
            <v>0</v>
          </cell>
        </row>
      </sheetData>
      <sheetData sheetId="8">
        <row r="1">
          <cell r="E1">
            <v>0</v>
          </cell>
        </row>
      </sheetData>
      <sheetData sheetId="9"/>
      <sheetData sheetId="10"/>
      <sheetData sheetId="11"/>
      <sheetData sheetId="12">
        <row r="9">
          <cell r="D9">
            <v>3750</v>
          </cell>
          <cell r="E9">
            <v>4800</v>
          </cell>
          <cell r="G9">
            <v>5300</v>
          </cell>
          <cell r="I9">
            <v>5000</v>
          </cell>
        </row>
        <row r="12">
          <cell r="E12" t="str">
            <v>No</v>
          </cell>
        </row>
        <row r="14">
          <cell r="E14">
            <v>3057.3489329681061</v>
          </cell>
          <cell r="L14">
            <v>0.04</v>
          </cell>
        </row>
        <row r="15">
          <cell r="E15">
            <v>3893.6676688242901</v>
          </cell>
          <cell r="L15">
            <v>0.04</v>
          </cell>
        </row>
        <row r="16">
          <cell r="E16">
            <v>4746.8435620475175</v>
          </cell>
          <cell r="L16">
            <v>0.04</v>
          </cell>
        </row>
        <row r="18">
          <cell r="E18">
            <v>350.00262963983187</v>
          </cell>
          <cell r="F18">
            <v>566.51169769693479</v>
          </cell>
          <cell r="L18">
            <v>0.5</v>
          </cell>
          <cell r="M18">
            <v>0.5</v>
          </cell>
        </row>
        <row r="19">
          <cell r="E19">
            <v>280.19382769852422</v>
          </cell>
          <cell r="F19">
            <v>377.88833993315461</v>
          </cell>
          <cell r="L19">
            <v>0.5</v>
          </cell>
          <cell r="M19">
            <v>0.5</v>
          </cell>
        </row>
        <row r="20">
          <cell r="E20">
            <v>156.72936237447038</v>
          </cell>
          <cell r="F20">
            <v>251.00798225734621</v>
          </cell>
          <cell r="L20">
            <v>0.5</v>
          </cell>
          <cell r="M20">
            <v>0.5</v>
          </cell>
        </row>
        <row r="21">
          <cell r="E21">
            <v>156.72936237447038</v>
          </cell>
          <cell r="F21">
            <v>251.00798225734621</v>
          </cell>
          <cell r="L21">
            <v>0.5</v>
          </cell>
          <cell r="M21">
            <v>0.5</v>
          </cell>
        </row>
        <row r="22">
          <cell r="E22">
            <v>235.09404356170558</v>
          </cell>
          <cell r="F22">
            <v>376.51197338601935</v>
          </cell>
          <cell r="L22">
            <v>0.5</v>
          </cell>
          <cell r="M22">
            <v>0.5</v>
          </cell>
        </row>
        <row r="23">
          <cell r="E23">
            <v>313.45872474894077</v>
          </cell>
          <cell r="F23">
            <v>502.01596451469243</v>
          </cell>
          <cell r="L23">
            <v>0.5</v>
          </cell>
          <cell r="M23">
            <v>0.5</v>
          </cell>
        </row>
        <row r="24">
          <cell r="E24">
            <v>391.82340593617596</v>
          </cell>
          <cell r="F24">
            <v>627.51995564336551</v>
          </cell>
          <cell r="L24">
            <v>0.5</v>
          </cell>
          <cell r="M24">
            <v>0.5</v>
          </cell>
        </row>
        <row r="25">
          <cell r="E25">
            <v>548.55276831064634</v>
          </cell>
          <cell r="F25">
            <v>878.52793790071178</v>
          </cell>
          <cell r="L25">
            <v>0.5</v>
          </cell>
          <cell r="M25">
            <v>0.5</v>
          </cell>
        </row>
        <row r="27">
          <cell r="E27">
            <v>0</v>
          </cell>
          <cell r="L27">
            <v>0</v>
          </cell>
        </row>
        <row r="28">
          <cell r="D28" t="str">
            <v>EAL 3 Primary</v>
          </cell>
          <cell r="E28">
            <v>508.33883657520101</v>
          </cell>
          <cell r="L28">
            <v>0</v>
          </cell>
        </row>
        <row r="29">
          <cell r="D29" t="str">
            <v>EAL 3 Secondary</v>
          </cell>
          <cell r="F29">
            <v>1438.7984236333368</v>
          </cell>
          <cell r="M29">
            <v>0</v>
          </cell>
        </row>
        <row r="30">
          <cell r="E30">
            <v>918.82526549396277</v>
          </cell>
          <cell r="F30">
            <v>1380.2510154485465</v>
          </cell>
          <cell r="L30">
            <v>0</v>
          </cell>
          <cell r="M30">
            <v>0</v>
          </cell>
        </row>
        <row r="32">
          <cell r="F32">
            <v>1157.2004110868215</v>
          </cell>
          <cell r="L32">
            <v>1</v>
          </cell>
        </row>
        <row r="33">
          <cell r="F33">
            <v>1487.1247266156831</v>
          </cell>
          <cell r="M33">
            <v>1</v>
          </cell>
        </row>
        <row r="43">
          <cell r="F43">
            <v>120000</v>
          </cell>
          <cell r="G43">
            <v>120000</v>
          </cell>
          <cell r="L43">
            <v>0</v>
          </cell>
          <cell r="M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</row>
        <row r="46">
          <cell r="D46">
            <v>0</v>
          </cell>
          <cell r="G46">
            <v>0</v>
          </cell>
          <cell r="K46" t="str">
            <v>Fixed</v>
          </cell>
        </row>
        <row r="47">
          <cell r="D47">
            <v>0</v>
          </cell>
          <cell r="G47">
            <v>0</v>
          </cell>
          <cell r="K47" t="str">
            <v>Fixed</v>
          </cell>
        </row>
        <row r="48">
          <cell r="D48">
            <v>0</v>
          </cell>
          <cell r="G48">
            <v>0</v>
          </cell>
          <cell r="K48" t="str">
            <v>Fixed</v>
          </cell>
        </row>
        <row r="49">
          <cell r="D49">
            <v>0</v>
          </cell>
          <cell r="G49">
            <v>0</v>
          </cell>
          <cell r="K49" t="str">
            <v>Fixed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6">
          <cell r="L66">
            <v>0</v>
          </cell>
        </row>
        <row r="69">
          <cell r="H69">
            <v>1.84E-2</v>
          </cell>
        </row>
        <row r="71">
          <cell r="J71" t="str">
            <v>No</v>
          </cell>
        </row>
        <row r="72">
          <cell r="D72">
            <v>0</v>
          </cell>
          <cell r="G72">
            <v>0</v>
          </cell>
        </row>
        <row r="76">
          <cell r="L76">
            <v>0</v>
          </cell>
        </row>
      </sheetData>
      <sheetData sheetId="13"/>
      <sheetData sheetId="14">
        <row r="8">
          <cell r="X8">
            <v>29.17</v>
          </cell>
        </row>
        <row r="9">
          <cell r="Y9">
            <v>23</v>
          </cell>
        </row>
        <row r="10">
          <cell r="X10">
            <v>0</v>
          </cell>
          <cell r="Y10">
            <v>0</v>
          </cell>
        </row>
        <row r="11">
          <cell r="X11">
            <v>0</v>
          </cell>
          <cell r="Y11">
            <v>0</v>
          </cell>
        </row>
        <row r="12">
          <cell r="X12">
            <v>0</v>
          </cell>
          <cell r="Y12">
            <v>0</v>
          </cell>
        </row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</row>
        <row r="15">
          <cell r="X15">
            <v>0</v>
          </cell>
          <cell r="Y15">
            <v>0</v>
          </cell>
        </row>
        <row r="16">
          <cell r="X16">
            <v>0</v>
          </cell>
          <cell r="Y16">
            <v>0</v>
          </cell>
        </row>
        <row r="17">
          <cell r="X17">
            <v>0</v>
          </cell>
          <cell r="Y17">
            <v>0</v>
          </cell>
        </row>
        <row r="18">
          <cell r="X18">
            <v>0</v>
          </cell>
          <cell r="Y18">
            <v>0</v>
          </cell>
        </row>
        <row r="19">
          <cell r="X19">
            <v>0</v>
          </cell>
        </row>
        <row r="20">
          <cell r="Y20">
            <v>0</v>
          </cell>
        </row>
        <row r="21">
          <cell r="X21">
            <v>0</v>
          </cell>
        </row>
        <row r="22">
          <cell r="Y22">
            <v>0</v>
          </cell>
        </row>
        <row r="23">
          <cell r="X23">
            <v>0</v>
          </cell>
          <cell r="Y23">
            <v>0</v>
          </cell>
        </row>
        <row r="24">
          <cell r="X24">
            <v>0</v>
          </cell>
          <cell r="Y24">
            <v>0</v>
          </cell>
        </row>
        <row r="26">
          <cell r="X26">
            <v>0</v>
          </cell>
          <cell r="Y26">
            <v>0</v>
          </cell>
        </row>
      </sheetData>
      <sheetData sheetId="15"/>
      <sheetData sheetId="16">
        <row r="1">
          <cell r="C1">
            <v>0</v>
          </cell>
        </row>
        <row r="5">
          <cell r="AH5">
            <v>19560000</v>
          </cell>
          <cell r="AI5">
            <v>0</v>
          </cell>
          <cell r="AJ5">
            <v>0</v>
          </cell>
          <cell r="AK5">
            <v>696409.50815488049</v>
          </cell>
          <cell r="AL5">
            <v>3334297.8</v>
          </cell>
          <cell r="AM5">
            <v>6404288.4117871448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X5">
            <v>51597575.75147213</v>
          </cell>
          <cell r="BC5">
            <v>818931.95457557891</v>
          </cell>
          <cell r="BD5">
            <v>1782797.4402073775</v>
          </cell>
          <cell r="BF5">
            <v>191357467.05438381</v>
          </cell>
          <cell r="BG5">
            <v>158890748.22233951</v>
          </cell>
          <cell r="BO5">
            <v>648294.72690099815</v>
          </cell>
        </row>
        <row r="6">
          <cell r="C6">
            <v>3732001</v>
          </cell>
        </row>
        <row r="7">
          <cell r="C7">
            <v>3732014</v>
          </cell>
        </row>
        <row r="8">
          <cell r="C8">
            <v>3732023</v>
          </cell>
        </row>
        <row r="9">
          <cell r="C9">
            <v>3732036</v>
          </cell>
        </row>
        <row r="10">
          <cell r="C10">
            <v>3732040</v>
          </cell>
        </row>
        <row r="11">
          <cell r="C11">
            <v>3732058</v>
          </cell>
        </row>
        <row r="12">
          <cell r="C12">
            <v>3732060</v>
          </cell>
        </row>
        <row r="13">
          <cell r="C13">
            <v>3732063</v>
          </cell>
        </row>
        <row r="14">
          <cell r="C14">
            <v>3732070</v>
          </cell>
        </row>
        <row r="15">
          <cell r="C15">
            <v>3732071</v>
          </cell>
        </row>
        <row r="16">
          <cell r="C16">
            <v>3732072</v>
          </cell>
        </row>
        <row r="17">
          <cell r="C17">
            <v>3732079</v>
          </cell>
        </row>
        <row r="18">
          <cell r="C18">
            <v>3732080</v>
          </cell>
        </row>
        <row r="19">
          <cell r="C19">
            <v>3732081</v>
          </cell>
        </row>
        <row r="20">
          <cell r="C20">
            <v>3732087</v>
          </cell>
        </row>
        <row r="21">
          <cell r="C21">
            <v>3732092</v>
          </cell>
        </row>
        <row r="22">
          <cell r="C22">
            <v>3732093</v>
          </cell>
        </row>
        <row r="23">
          <cell r="C23">
            <v>3732139</v>
          </cell>
        </row>
        <row r="24">
          <cell r="C24">
            <v>3732206</v>
          </cell>
        </row>
        <row r="25">
          <cell r="C25">
            <v>3732213</v>
          </cell>
        </row>
        <row r="26">
          <cell r="C26">
            <v>3732221</v>
          </cell>
        </row>
        <row r="27">
          <cell r="C27">
            <v>3732233</v>
          </cell>
        </row>
        <row r="28">
          <cell r="C28">
            <v>3732239</v>
          </cell>
        </row>
        <row r="29">
          <cell r="C29">
            <v>3732241</v>
          </cell>
        </row>
        <row r="30">
          <cell r="C30">
            <v>3732246</v>
          </cell>
        </row>
        <row r="31">
          <cell r="C31">
            <v>3732252</v>
          </cell>
        </row>
        <row r="32">
          <cell r="C32">
            <v>3732257</v>
          </cell>
        </row>
        <row r="33">
          <cell r="C33">
            <v>3732261</v>
          </cell>
        </row>
        <row r="34">
          <cell r="C34">
            <v>3732272</v>
          </cell>
        </row>
        <row r="35">
          <cell r="C35">
            <v>3732279</v>
          </cell>
        </row>
        <row r="36">
          <cell r="C36">
            <v>3732281</v>
          </cell>
        </row>
        <row r="37">
          <cell r="C37">
            <v>3732283</v>
          </cell>
        </row>
        <row r="38">
          <cell r="C38">
            <v>3732296</v>
          </cell>
        </row>
        <row r="39">
          <cell r="C39">
            <v>3732297</v>
          </cell>
        </row>
        <row r="40">
          <cell r="C40">
            <v>3732302</v>
          </cell>
        </row>
        <row r="41">
          <cell r="C41">
            <v>3732303</v>
          </cell>
        </row>
        <row r="42">
          <cell r="C42">
            <v>3732306</v>
          </cell>
        </row>
        <row r="43">
          <cell r="C43">
            <v>3732312</v>
          </cell>
        </row>
        <row r="44">
          <cell r="C44">
            <v>3732319</v>
          </cell>
        </row>
        <row r="45">
          <cell r="C45">
            <v>3732322</v>
          </cell>
        </row>
        <row r="46">
          <cell r="C46">
            <v>3732325</v>
          </cell>
        </row>
        <row r="47">
          <cell r="C47">
            <v>3732327</v>
          </cell>
        </row>
        <row r="48">
          <cell r="C48">
            <v>3732329</v>
          </cell>
        </row>
        <row r="49">
          <cell r="C49">
            <v>3732334</v>
          </cell>
        </row>
        <row r="50">
          <cell r="C50">
            <v>3732338</v>
          </cell>
        </row>
        <row r="51">
          <cell r="C51">
            <v>3732340</v>
          </cell>
        </row>
        <row r="52">
          <cell r="C52">
            <v>3732342</v>
          </cell>
        </row>
        <row r="53">
          <cell r="C53">
            <v>3732343</v>
          </cell>
        </row>
        <row r="54">
          <cell r="C54">
            <v>3732344</v>
          </cell>
        </row>
        <row r="55">
          <cell r="C55">
            <v>3732347</v>
          </cell>
        </row>
        <row r="56">
          <cell r="C56">
            <v>3732349</v>
          </cell>
        </row>
        <row r="57">
          <cell r="C57">
            <v>3732350</v>
          </cell>
        </row>
        <row r="58">
          <cell r="C58">
            <v>3732351</v>
          </cell>
        </row>
        <row r="59">
          <cell r="C59">
            <v>3732352</v>
          </cell>
        </row>
        <row r="60">
          <cell r="C60">
            <v>3732356</v>
          </cell>
        </row>
        <row r="61">
          <cell r="C61">
            <v>3732358</v>
          </cell>
        </row>
        <row r="62">
          <cell r="C62">
            <v>3732360</v>
          </cell>
        </row>
        <row r="63">
          <cell r="C63">
            <v>3732364</v>
          </cell>
        </row>
        <row r="64">
          <cell r="C64">
            <v>3732369</v>
          </cell>
        </row>
        <row r="65">
          <cell r="C65">
            <v>3733010</v>
          </cell>
        </row>
        <row r="66">
          <cell r="C66">
            <v>3733422</v>
          </cell>
        </row>
        <row r="67">
          <cell r="C67">
            <v>3733428</v>
          </cell>
        </row>
        <row r="68">
          <cell r="C68">
            <v>3733429</v>
          </cell>
        </row>
        <row r="69">
          <cell r="C69">
            <v>3733432</v>
          </cell>
        </row>
        <row r="70">
          <cell r="C70">
            <v>3733433</v>
          </cell>
        </row>
        <row r="71">
          <cell r="C71">
            <v>3735200</v>
          </cell>
        </row>
        <row r="72">
          <cell r="C72">
            <v>3735204</v>
          </cell>
        </row>
        <row r="73">
          <cell r="C73">
            <v>3735208</v>
          </cell>
        </row>
        <row r="74">
          <cell r="C74">
            <v>3734259</v>
          </cell>
        </row>
        <row r="75">
          <cell r="C75">
            <v>3732002</v>
          </cell>
        </row>
        <row r="76">
          <cell r="C76">
            <v>3732009</v>
          </cell>
        </row>
        <row r="77">
          <cell r="C77">
            <v>3732010</v>
          </cell>
        </row>
        <row r="78">
          <cell r="C78">
            <v>3732012</v>
          </cell>
        </row>
        <row r="79">
          <cell r="C79">
            <v>3732013</v>
          </cell>
        </row>
        <row r="80">
          <cell r="C80">
            <v>3732016</v>
          </cell>
        </row>
        <row r="81">
          <cell r="C81">
            <v>3732017</v>
          </cell>
        </row>
        <row r="82">
          <cell r="C82">
            <v>3732018</v>
          </cell>
        </row>
        <row r="83">
          <cell r="C83">
            <v>3732019</v>
          </cell>
        </row>
        <row r="84">
          <cell r="C84">
            <v>3732020</v>
          </cell>
        </row>
        <row r="85">
          <cell r="C85">
            <v>3732024</v>
          </cell>
        </row>
        <row r="86">
          <cell r="C86">
            <v>3732026</v>
          </cell>
        </row>
        <row r="87">
          <cell r="C87">
            <v>3732027</v>
          </cell>
        </row>
        <row r="88">
          <cell r="C88">
            <v>3732028</v>
          </cell>
        </row>
        <row r="89">
          <cell r="C89">
            <v>3732029</v>
          </cell>
        </row>
        <row r="90">
          <cell r="C90">
            <v>3732034</v>
          </cell>
        </row>
        <row r="91">
          <cell r="C91">
            <v>3732039</v>
          </cell>
        </row>
        <row r="92">
          <cell r="C92">
            <v>3732042</v>
          </cell>
        </row>
        <row r="93">
          <cell r="C93">
            <v>3732043</v>
          </cell>
        </row>
        <row r="94">
          <cell r="C94">
            <v>3732045</v>
          </cell>
        </row>
        <row r="95">
          <cell r="C95">
            <v>3732046</v>
          </cell>
        </row>
        <row r="96">
          <cell r="C96">
            <v>3732048</v>
          </cell>
        </row>
        <row r="97">
          <cell r="C97">
            <v>3732049</v>
          </cell>
        </row>
        <row r="98">
          <cell r="C98">
            <v>3732050</v>
          </cell>
        </row>
        <row r="99">
          <cell r="C99">
            <v>3732051</v>
          </cell>
        </row>
        <row r="100">
          <cell r="C100">
            <v>3732095</v>
          </cell>
        </row>
        <row r="101">
          <cell r="C101">
            <v>3732203</v>
          </cell>
        </row>
        <row r="102">
          <cell r="C102">
            <v>3732230</v>
          </cell>
        </row>
        <row r="103">
          <cell r="C103">
            <v>3732274</v>
          </cell>
        </row>
        <row r="104">
          <cell r="C104">
            <v>3732292</v>
          </cell>
        </row>
        <row r="105">
          <cell r="C105">
            <v>3732294</v>
          </cell>
        </row>
        <row r="106">
          <cell r="C106">
            <v>3732298</v>
          </cell>
        </row>
        <row r="107">
          <cell r="C107">
            <v>3732305</v>
          </cell>
        </row>
        <row r="108">
          <cell r="C108">
            <v>3732309</v>
          </cell>
        </row>
        <row r="109">
          <cell r="C109">
            <v>3732311</v>
          </cell>
        </row>
        <row r="110">
          <cell r="C110">
            <v>3732313</v>
          </cell>
        </row>
        <row r="111">
          <cell r="C111">
            <v>3732315</v>
          </cell>
        </row>
        <row r="112">
          <cell r="C112">
            <v>3732321</v>
          </cell>
        </row>
        <row r="113">
          <cell r="C113">
            <v>3732323</v>
          </cell>
        </row>
        <row r="114">
          <cell r="C114">
            <v>3732324</v>
          </cell>
        </row>
        <row r="115">
          <cell r="C115">
            <v>3732328</v>
          </cell>
        </row>
        <row r="116">
          <cell r="C116">
            <v>3732332</v>
          </cell>
        </row>
        <row r="117">
          <cell r="C117">
            <v>3732337</v>
          </cell>
        </row>
        <row r="118">
          <cell r="C118">
            <v>3732339</v>
          </cell>
        </row>
        <row r="119">
          <cell r="C119">
            <v>3732341</v>
          </cell>
        </row>
        <row r="120">
          <cell r="C120">
            <v>3732346</v>
          </cell>
        </row>
        <row r="121">
          <cell r="C121">
            <v>3732353</v>
          </cell>
        </row>
        <row r="122">
          <cell r="C122">
            <v>3732354</v>
          </cell>
        </row>
        <row r="123">
          <cell r="C123">
            <v>3732357</v>
          </cell>
        </row>
        <row r="124">
          <cell r="C124">
            <v>3732359</v>
          </cell>
        </row>
        <row r="125">
          <cell r="C125">
            <v>3732361</v>
          </cell>
        </row>
        <row r="126">
          <cell r="C126">
            <v>3732363</v>
          </cell>
        </row>
        <row r="127">
          <cell r="C127">
            <v>3732366</v>
          </cell>
        </row>
        <row r="128">
          <cell r="C128">
            <v>3733401</v>
          </cell>
        </row>
        <row r="129">
          <cell r="C129">
            <v>3733402</v>
          </cell>
        </row>
        <row r="130">
          <cell r="C130">
            <v>3733406</v>
          </cell>
        </row>
        <row r="131">
          <cell r="C131">
            <v>3733412</v>
          </cell>
        </row>
        <row r="132">
          <cell r="C132">
            <v>3733414</v>
          </cell>
        </row>
        <row r="133">
          <cell r="C133">
            <v>3733423</v>
          </cell>
        </row>
        <row r="134">
          <cell r="C134">
            <v>3733424</v>
          </cell>
        </row>
        <row r="135">
          <cell r="C135">
            <v>3733427</v>
          </cell>
        </row>
        <row r="136">
          <cell r="C136">
            <v>3735202</v>
          </cell>
        </row>
        <row r="137">
          <cell r="C137">
            <v>3735203</v>
          </cell>
        </row>
        <row r="138">
          <cell r="C138">
            <v>3735207</v>
          </cell>
        </row>
        <row r="139">
          <cell r="C139">
            <v>3734000</v>
          </cell>
        </row>
        <row r="140">
          <cell r="C140">
            <v>3734003</v>
          </cell>
        </row>
        <row r="141">
          <cell r="C141">
            <v>3734004</v>
          </cell>
        </row>
        <row r="142">
          <cell r="C142">
            <v>3734006</v>
          </cell>
        </row>
        <row r="143">
          <cell r="C143">
            <v>3734007</v>
          </cell>
        </row>
        <row r="144">
          <cell r="C144">
            <v>3734008</v>
          </cell>
        </row>
        <row r="145">
          <cell r="C145">
            <v>3734010</v>
          </cell>
        </row>
        <row r="146">
          <cell r="C146">
            <v>3734012</v>
          </cell>
        </row>
        <row r="147">
          <cell r="C147">
            <v>3734013</v>
          </cell>
        </row>
        <row r="148">
          <cell r="C148">
            <v>3734015</v>
          </cell>
        </row>
        <row r="149">
          <cell r="C149">
            <v>3734016</v>
          </cell>
        </row>
        <row r="150">
          <cell r="C150">
            <v>3734229</v>
          </cell>
        </row>
        <row r="151">
          <cell r="C151">
            <v>3734230</v>
          </cell>
        </row>
        <row r="152">
          <cell r="C152">
            <v>3734234</v>
          </cell>
        </row>
        <row r="153">
          <cell r="C153">
            <v>3734257</v>
          </cell>
        </row>
        <row r="154">
          <cell r="C154">
            <v>3734271</v>
          </cell>
        </row>
        <row r="155">
          <cell r="C155">
            <v>3734272</v>
          </cell>
        </row>
        <row r="156">
          <cell r="C156">
            <v>3734276</v>
          </cell>
        </row>
        <row r="157">
          <cell r="C157">
            <v>3734278</v>
          </cell>
        </row>
        <row r="158">
          <cell r="C158">
            <v>3734279</v>
          </cell>
        </row>
        <row r="159">
          <cell r="C159">
            <v>3734280</v>
          </cell>
        </row>
        <row r="160">
          <cell r="C160">
            <v>3735400</v>
          </cell>
        </row>
        <row r="161">
          <cell r="C161">
            <v>3735401</v>
          </cell>
        </row>
        <row r="162">
          <cell r="C162">
            <v>3736905</v>
          </cell>
        </row>
        <row r="163">
          <cell r="C163">
            <v>3736906</v>
          </cell>
        </row>
        <row r="164">
          <cell r="C164">
            <v>3736907</v>
          </cell>
        </row>
        <row r="165">
          <cell r="C165">
            <v>3734005</v>
          </cell>
        </row>
        <row r="166">
          <cell r="C166">
            <v>3734014</v>
          </cell>
        </row>
        <row r="167">
          <cell r="C167">
            <v>3734225</v>
          </cell>
        </row>
        <row r="168">
          <cell r="C168">
            <v>3735206</v>
          </cell>
        </row>
        <row r="169">
          <cell r="C169" t="str">
            <v/>
          </cell>
        </row>
        <row r="170">
          <cell r="C170" t="str">
            <v/>
          </cell>
        </row>
        <row r="171">
          <cell r="C171" t="str">
            <v/>
          </cell>
        </row>
        <row r="172">
          <cell r="C172" t="str">
            <v/>
          </cell>
        </row>
        <row r="173">
          <cell r="C173" t="str">
            <v/>
          </cell>
        </row>
        <row r="174">
          <cell r="C174" t="str">
            <v/>
          </cell>
        </row>
        <row r="175">
          <cell r="C175" t="str">
            <v/>
          </cell>
        </row>
        <row r="176">
          <cell r="C176" t="str">
            <v/>
          </cell>
        </row>
        <row r="177">
          <cell r="C177" t="str">
            <v/>
          </cell>
        </row>
        <row r="178">
          <cell r="C178" t="str">
            <v/>
          </cell>
        </row>
        <row r="179">
          <cell r="C179" t="str">
            <v/>
          </cell>
        </row>
        <row r="180">
          <cell r="C180" t="str">
            <v/>
          </cell>
        </row>
        <row r="181">
          <cell r="C181" t="str">
            <v/>
          </cell>
        </row>
        <row r="182">
          <cell r="C182" t="str">
            <v/>
          </cell>
        </row>
        <row r="183">
          <cell r="C183" t="str">
            <v/>
          </cell>
        </row>
        <row r="184">
          <cell r="C184" t="str">
            <v/>
          </cell>
        </row>
        <row r="185">
          <cell r="C185" t="str">
            <v/>
          </cell>
        </row>
        <row r="186">
          <cell r="C186" t="str">
            <v/>
          </cell>
        </row>
        <row r="187">
          <cell r="C187" t="str">
            <v/>
          </cell>
        </row>
        <row r="188">
          <cell r="C188" t="str">
            <v/>
          </cell>
        </row>
        <row r="189">
          <cell r="C189" t="str">
            <v/>
          </cell>
        </row>
        <row r="190">
          <cell r="C190" t="str">
            <v/>
          </cell>
        </row>
        <row r="191">
          <cell r="C191" t="str">
            <v/>
          </cell>
        </row>
        <row r="192">
          <cell r="C192" t="str">
            <v/>
          </cell>
        </row>
        <row r="193">
          <cell r="C193" t="str">
            <v/>
          </cell>
        </row>
        <row r="194">
          <cell r="C194" t="str">
            <v/>
          </cell>
        </row>
        <row r="195">
          <cell r="C195" t="str">
            <v/>
          </cell>
        </row>
        <row r="196">
          <cell r="C196" t="str">
            <v/>
          </cell>
        </row>
        <row r="197">
          <cell r="C197" t="str">
            <v/>
          </cell>
        </row>
        <row r="198">
          <cell r="C198" t="str">
            <v/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10">
          <cell r="C210" t="str">
            <v/>
          </cell>
        </row>
        <row r="211">
          <cell r="C211" t="str">
            <v/>
          </cell>
        </row>
        <row r="212">
          <cell r="C212" t="str">
            <v/>
          </cell>
        </row>
        <row r="213">
          <cell r="C213" t="str">
            <v/>
          </cell>
        </row>
        <row r="214">
          <cell r="C214" t="str">
            <v/>
          </cell>
        </row>
        <row r="215">
          <cell r="C215" t="str">
            <v/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  <row r="257">
          <cell r="C257" t="str">
            <v/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269">
          <cell r="C269" t="str">
            <v/>
          </cell>
        </row>
        <row r="270">
          <cell r="C270" t="str">
            <v/>
          </cell>
        </row>
        <row r="271">
          <cell r="C271" t="str">
            <v/>
          </cell>
        </row>
        <row r="272">
          <cell r="C272" t="str">
            <v/>
          </cell>
        </row>
        <row r="273">
          <cell r="C273" t="str">
            <v/>
          </cell>
        </row>
        <row r="274">
          <cell r="C274" t="str">
            <v/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  <row r="366">
          <cell r="C366" t="str">
            <v/>
          </cell>
        </row>
        <row r="367">
          <cell r="C367" t="str">
            <v/>
          </cell>
        </row>
        <row r="368">
          <cell r="C368" t="str">
            <v/>
          </cell>
        </row>
        <row r="369">
          <cell r="C369" t="str">
            <v/>
          </cell>
        </row>
        <row r="370">
          <cell r="C370" t="str">
            <v/>
          </cell>
        </row>
        <row r="371">
          <cell r="C371" t="str">
            <v/>
          </cell>
        </row>
        <row r="372">
          <cell r="C372" t="str">
            <v/>
          </cell>
        </row>
        <row r="373">
          <cell r="C373" t="str">
            <v/>
          </cell>
        </row>
        <row r="374">
          <cell r="C374" t="str">
            <v/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  <row r="500">
          <cell r="C500" t="str">
            <v/>
          </cell>
        </row>
        <row r="501">
          <cell r="C501" t="str">
            <v/>
          </cell>
        </row>
        <row r="502">
          <cell r="C502" t="str">
            <v/>
          </cell>
        </row>
        <row r="503">
          <cell r="C503" t="str">
            <v/>
          </cell>
        </row>
        <row r="504">
          <cell r="C504" t="str">
            <v/>
          </cell>
        </row>
        <row r="505">
          <cell r="C505" t="str">
            <v/>
          </cell>
        </row>
        <row r="506">
          <cell r="C506" t="str">
            <v/>
          </cell>
        </row>
        <row r="507">
          <cell r="C507" t="str">
            <v/>
          </cell>
        </row>
        <row r="508">
          <cell r="C508" t="str">
            <v/>
          </cell>
        </row>
        <row r="509">
          <cell r="C509" t="str">
            <v/>
          </cell>
        </row>
        <row r="510">
          <cell r="C510" t="str">
            <v/>
          </cell>
        </row>
        <row r="511">
          <cell r="C511" t="str">
            <v/>
          </cell>
        </row>
        <row r="512">
          <cell r="C512" t="str">
            <v/>
          </cell>
        </row>
        <row r="513">
          <cell r="C513" t="str">
            <v/>
          </cell>
        </row>
        <row r="514">
          <cell r="C514" t="str">
            <v/>
          </cell>
        </row>
        <row r="515">
          <cell r="C515" t="str">
            <v/>
          </cell>
        </row>
        <row r="516">
          <cell r="C516" t="str">
            <v/>
          </cell>
        </row>
        <row r="517">
          <cell r="C517" t="str">
            <v/>
          </cell>
        </row>
        <row r="518">
          <cell r="C518" t="str">
            <v/>
          </cell>
        </row>
        <row r="519">
          <cell r="C519" t="str">
            <v/>
          </cell>
        </row>
        <row r="520">
          <cell r="C520" t="str">
            <v/>
          </cell>
        </row>
        <row r="521">
          <cell r="C521" t="str">
            <v/>
          </cell>
        </row>
        <row r="522">
          <cell r="C522" t="str">
            <v/>
          </cell>
        </row>
        <row r="523">
          <cell r="C523" t="str">
            <v/>
          </cell>
        </row>
        <row r="524">
          <cell r="C524" t="str">
            <v/>
          </cell>
        </row>
        <row r="525">
          <cell r="C525" t="str">
            <v/>
          </cell>
        </row>
        <row r="526">
          <cell r="C526" t="str">
            <v/>
          </cell>
        </row>
        <row r="527">
          <cell r="C527" t="str">
            <v/>
          </cell>
        </row>
        <row r="528">
          <cell r="C528" t="str">
            <v/>
          </cell>
        </row>
        <row r="529">
          <cell r="C529" t="str">
            <v/>
          </cell>
        </row>
        <row r="530">
          <cell r="C530" t="str">
            <v/>
          </cell>
        </row>
        <row r="531">
          <cell r="C531" t="str">
            <v/>
          </cell>
        </row>
        <row r="532">
          <cell r="C532" t="str">
            <v/>
          </cell>
        </row>
        <row r="533">
          <cell r="C533" t="str">
            <v/>
          </cell>
        </row>
        <row r="534">
          <cell r="C534" t="str">
            <v/>
          </cell>
        </row>
        <row r="535">
          <cell r="C535" t="str">
            <v/>
          </cell>
        </row>
        <row r="536">
          <cell r="C536" t="str">
            <v/>
          </cell>
        </row>
        <row r="537">
          <cell r="C537" t="str">
            <v/>
          </cell>
        </row>
        <row r="538">
          <cell r="C538" t="str">
            <v/>
          </cell>
        </row>
        <row r="539">
          <cell r="C539" t="str">
            <v/>
          </cell>
        </row>
        <row r="540">
          <cell r="C540" t="str">
            <v/>
          </cell>
        </row>
        <row r="541">
          <cell r="C541" t="str">
            <v/>
          </cell>
        </row>
        <row r="542">
          <cell r="C542" t="str">
            <v/>
          </cell>
        </row>
        <row r="543">
          <cell r="C543" t="str">
            <v/>
          </cell>
        </row>
        <row r="544">
          <cell r="C544" t="str">
            <v/>
          </cell>
        </row>
        <row r="545">
          <cell r="C545" t="str">
            <v/>
          </cell>
        </row>
        <row r="546">
          <cell r="C546" t="str">
            <v/>
          </cell>
        </row>
        <row r="547">
          <cell r="C547" t="str">
            <v/>
          </cell>
        </row>
        <row r="548">
          <cell r="C548" t="str">
            <v/>
          </cell>
        </row>
        <row r="549">
          <cell r="C549" t="str">
            <v/>
          </cell>
        </row>
        <row r="550">
          <cell r="C550" t="str">
            <v/>
          </cell>
        </row>
        <row r="551">
          <cell r="C551" t="str">
            <v/>
          </cell>
        </row>
        <row r="552">
          <cell r="C552" t="str">
            <v/>
          </cell>
        </row>
        <row r="553">
          <cell r="C553" t="str">
            <v/>
          </cell>
        </row>
        <row r="554">
          <cell r="C554" t="str">
            <v/>
          </cell>
        </row>
        <row r="555">
          <cell r="C555" t="str">
            <v/>
          </cell>
        </row>
        <row r="556">
          <cell r="C556" t="str">
            <v/>
          </cell>
        </row>
        <row r="557">
          <cell r="C557" t="str">
            <v/>
          </cell>
        </row>
        <row r="558">
          <cell r="C558" t="str">
            <v/>
          </cell>
        </row>
        <row r="559">
          <cell r="C559" t="str">
            <v/>
          </cell>
        </row>
        <row r="560">
          <cell r="C560" t="str">
            <v/>
          </cell>
        </row>
        <row r="561">
          <cell r="C561" t="str">
            <v/>
          </cell>
        </row>
        <row r="562">
          <cell r="C562" t="str">
            <v/>
          </cell>
        </row>
        <row r="563">
          <cell r="C563" t="str">
            <v/>
          </cell>
        </row>
        <row r="564">
          <cell r="C564" t="str">
            <v/>
          </cell>
        </row>
        <row r="565">
          <cell r="C565" t="str">
            <v/>
          </cell>
        </row>
        <row r="566">
          <cell r="C566" t="str">
            <v/>
          </cell>
        </row>
        <row r="567">
          <cell r="C567" t="str">
            <v/>
          </cell>
        </row>
        <row r="568">
          <cell r="C568" t="str">
            <v/>
          </cell>
        </row>
        <row r="569">
          <cell r="C569" t="str">
            <v/>
          </cell>
        </row>
        <row r="570">
          <cell r="C570" t="str">
            <v/>
          </cell>
        </row>
        <row r="571">
          <cell r="C571" t="str">
            <v/>
          </cell>
        </row>
        <row r="572">
          <cell r="C572" t="str">
            <v/>
          </cell>
        </row>
        <row r="573">
          <cell r="C573" t="str">
            <v/>
          </cell>
        </row>
        <row r="574">
          <cell r="C574" t="str">
            <v/>
          </cell>
        </row>
        <row r="575">
          <cell r="C575" t="str">
            <v/>
          </cell>
        </row>
        <row r="576">
          <cell r="C576" t="str">
            <v/>
          </cell>
        </row>
        <row r="577">
          <cell r="C577" t="str">
            <v/>
          </cell>
        </row>
        <row r="578">
          <cell r="C578" t="str">
            <v/>
          </cell>
        </row>
        <row r="579">
          <cell r="C579" t="str">
            <v/>
          </cell>
        </row>
        <row r="580">
          <cell r="C580" t="str">
            <v/>
          </cell>
        </row>
        <row r="581">
          <cell r="C581" t="str">
            <v/>
          </cell>
        </row>
        <row r="582">
          <cell r="C582" t="str">
            <v/>
          </cell>
        </row>
        <row r="583">
          <cell r="C583" t="str">
            <v/>
          </cell>
        </row>
        <row r="584">
          <cell r="C584" t="str">
            <v/>
          </cell>
        </row>
        <row r="585">
          <cell r="C585" t="str">
            <v/>
          </cell>
        </row>
        <row r="586">
          <cell r="C586" t="str">
            <v/>
          </cell>
        </row>
        <row r="587">
          <cell r="C587" t="str">
            <v/>
          </cell>
        </row>
        <row r="588">
          <cell r="C588" t="str">
            <v/>
          </cell>
        </row>
        <row r="589">
          <cell r="C589" t="str">
            <v/>
          </cell>
        </row>
        <row r="590">
          <cell r="C590" t="str">
            <v/>
          </cell>
        </row>
        <row r="591">
          <cell r="C591" t="str">
            <v/>
          </cell>
        </row>
        <row r="592">
          <cell r="C592" t="str">
            <v/>
          </cell>
        </row>
        <row r="593">
          <cell r="C593" t="str">
            <v/>
          </cell>
        </row>
        <row r="594">
          <cell r="C594" t="str">
            <v/>
          </cell>
        </row>
        <row r="595">
          <cell r="C595" t="str">
            <v/>
          </cell>
        </row>
        <row r="596">
          <cell r="C596" t="str">
            <v/>
          </cell>
        </row>
        <row r="597">
          <cell r="C597" t="str">
            <v/>
          </cell>
        </row>
        <row r="598">
          <cell r="C598" t="str">
            <v/>
          </cell>
        </row>
        <row r="599">
          <cell r="C599" t="str">
            <v/>
          </cell>
        </row>
        <row r="600">
          <cell r="C600" t="str">
            <v/>
          </cell>
        </row>
        <row r="601">
          <cell r="C601" t="str">
            <v/>
          </cell>
        </row>
        <row r="602">
          <cell r="C602" t="str">
            <v/>
          </cell>
        </row>
        <row r="603">
          <cell r="C603" t="str">
            <v/>
          </cell>
        </row>
        <row r="604">
          <cell r="C604" t="str">
            <v/>
          </cell>
        </row>
        <row r="605">
          <cell r="C605" t="str">
            <v/>
          </cell>
        </row>
        <row r="606">
          <cell r="C606" t="str">
            <v/>
          </cell>
        </row>
        <row r="607">
          <cell r="C607" t="str">
            <v/>
          </cell>
        </row>
        <row r="608">
          <cell r="C608" t="str">
            <v/>
          </cell>
        </row>
        <row r="609">
          <cell r="C609" t="str">
            <v/>
          </cell>
        </row>
        <row r="610">
          <cell r="C610" t="str">
            <v/>
          </cell>
        </row>
        <row r="611">
          <cell r="C611" t="str">
            <v/>
          </cell>
        </row>
        <row r="612">
          <cell r="C612" t="str">
            <v/>
          </cell>
        </row>
        <row r="613">
          <cell r="C613" t="str">
            <v/>
          </cell>
        </row>
        <row r="614">
          <cell r="C614" t="str">
            <v/>
          </cell>
        </row>
        <row r="615">
          <cell r="C615" t="str">
            <v/>
          </cell>
        </row>
        <row r="616">
          <cell r="C616" t="str">
            <v/>
          </cell>
        </row>
        <row r="617">
          <cell r="C617" t="str">
            <v/>
          </cell>
        </row>
        <row r="618">
          <cell r="C618" t="str">
            <v/>
          </cell>
        </row>
        <row r="619">
          <cell r="C619" t="str">
            <v/>
          </cell>
        </row>
        <row r="620">
          <cell r="C620" t="str">
            <v/>
          </cell>
        </row>
        <row r="621">
          <cell r="C621" t="str">
            <v/>
          </cell>
        </row>
        <row r="622">
          <cell r="C622" t="str">
            <v/>
          </cell>
        </row>
        <row r="623">
          <cell r="C623" t="str">
            <v/>
          </cell>
        </row>
        <row r="624">
          <cell r="C624" t="str">
            <v/>
          </cell>
        </row>
        <row r="625">
          <cell r="C625" t="str">
            <v/>
          </cell>
        </row>
        <row r="626">
          <cell r="C626" t="str">
            <v/>
          </cell>
        </row>
        <row r="627">
          <cell r="C627" t="str">
            <v/>
          </cell>
        </row>
        <row r="628">
          <cell r="C628" t="str">
            <v/>
          </cell>
        </row>
        <row r="629">
          <cell r="C629" t="str">
            <v/>
          </cell>
        </row>
        <row r="630">
          <cell r="C630" t="str">
            <v/>
          </cell>
        </row>
        <row r="631">
          <cell r="C631" t="str">
            <v/>
          </cell>
        </row>
        <row r="632">
          <cell r="C632" t="str">
            <v/>
          </cell>
        </row>
        <row r="633">
          <cell r="C633" t="str">
            <v/>
          </cell>
        </row>
        <row r="634">
          <cell r="C634" t="str">
            <v/>
          </cell>
        </row>
        <row r="635">
          <cell r="C635" t="str">
            <v/>
          </cell>
        </row>
        <row r="636">
          <cell r="C636" t="str">
            <v/>
          </cell>
        </row>
        <row r="637">
          <cell r="C637" t="str">
            <v/>
          </cell>
        </row>
        <row r="638">
          <cell r="C638" t="str">
            <v/>
          </cell>
        </row>
        <row r="639">
          <cell r="C639" t="str">
            <v/>
          </cell>
        </row>
        <row r="640">
          <cell r="C640" t="str">
            <v/>
          </cell>
        </row>
        <row r="641">
          <cell r="C641" t="str">
            <v/>
          </cell>
        </row>
        <row r="642">
          <cell r="C642" t="str">
            <v/>
          </cell>
        </row>
        <row r="643">
          <cell r="C643" t="str">
            <v/>
          </cell>
        </row>
        <row r="644">
          <cell r="C644" t="str">
            <v/>
          </cell>
        </row>
        <row r="645">
          <cell r="C645" t="str">
            <v/>
          </cell>
        </row>
        <row r="646">
          <cell r="C646" t="str">
            <v/>
          </cell>
        </row>
        <row r="647">
          <cell r="C647" t="str">
            <v/>
          </cell>
        </row>
        <row r="648">
          <cell r="C648" t="str">
            <v/>
          </cell>
        </row>
        <row r="649">
          <cell r="C649" t="str">
            <v/>
          </cell>
        </row>
        <row r="650">
          <cell r="C650" t="str">
            <v/>
          </cell>
        </row>
        <row r="651">
          <cell r="C651" t="str">
            <v/>
          </cell>
        </row>
        <row r="652">
          <cell r="C652" t="str">
            <v/>
          </cell>
        </row>
        <row r="653">
          <cell r="C653" t="str">
            <v/>
          </cell>
        </row>
        <row r="654">
          <cell r="C654" t="str">
            <v/>
          </cell>
        </row>
        <row r="655">
          <cell r="C655" t="str">
            <v/>
          </cell>
        </row>
        <row r="656">
          <cell r="C656" t="str">
            <v/>
          </cell>
        </row>
        <row r="657">
          <cell r="C657" t="str">
            <v/>
          </cell>
        </row>
        <row r="658">
          <cell r="C658" t="str">
            <v/>
          </cell>
        </row>
        <row r="659">
          <cell r="C659" t="str">
            <v/>
          </cell>
        </row>
        <row r="660">
          <cell r="C660" t="str">
            <v/>
          </cell>
        </row>
        <row r="661">
          <cell r="C661" t="str">
            <v/>
          </cell>
        </row>
      </sheetData>
      <sheetData sheetId="17"/>
      <sheetData sheetId="18"/>
      <sheetData sheetId="19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38783.745597449684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cton"/>
      <sheetName val="Bents Green"/>
      <sheetName val="Heritage"/>
      <sheetName val="Holgate"/>
      <sheetName val="Norfolk Park"/>
      <sheetName val="Mossbrook"/>
      <sheetName val="Rowan"/>
      <sheetName val="7 Hills"/>
      <sheetName val="Talbot"/>
      <sheetName val="Woolley W"/>
      <sheetName val="Sheet1"/>
      <sheetName val="IR places for mainstream formul"/>
      <sheetName val="IR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A9">
            <v>3732001</v>
          </cell>
          <cell r="B9">
            <v>0</v>
          </cell>
          <cell r="C9">
            <v>0</v>
          </cell>
          <cell r="D9">
            <v>2001</v>
          </cell>
          <cell r="E9" t="str">
            <v>Abbey Lane Primary School</v>
          </cell>
        </row>
        <row r="10">
          <cell r="A10">
            <v>3732046</v>
          </cell>
          <cell r="B10" t="str">
            <v>Recoupment Academy</v>
          </cell>
          <cell r="C10">
            <v>0</v>
          </cell>
          <cell r="D10">
            <v>2046</v>
          </cell>
          <cell r="E10" t="str">
            <v>Abbeyfield Primary Academy</v>
          </cell>
        </row>
        <row r="11">
          <cell r="A11">
            <v>3732048</v>
          </cell>
          <cell r="B11" t="str">
            <v>Recoupment Academy</v>
          </cell>
          <cell r="C11">
            <v>0</v>
          </cell>
          <cell r="D11">
            <v>2048</v>
          </cell>
          <cell r="E11" t="str">
            <v>Acres Hill Community Primary School</v>
          </cell>
        </row>
        <row r="12">
          <cell r="A12">
            <v>3732342</v>
          </cell>
          <cell r="B12">
            <v>0</v>
          </cell>
          <cell r="C12">
            <v>0</v>
          </cell>
          <cell r="D12">
            <v>2342</v>
          </cell>
          <cell r="E12" t="str">
            <v>Angram Bank Primary School</v>
          </cell>
        </row>
        <row r="13">
          <cell r="A13">
            <v>3732343</v>
          </cell>
          <cell r="B13">
            <v>0</v>
          </cell>
          <cell r="C13">
            <v>0</v>
          </cell>
          <cell r="D13">
            <v>2343</v>
          </cell>
          <cell r="E13" t="str">
            <v>Anns Grove Primary School</v>
          </cell>
        </row>
        <row r="14">
          <cell r="A14">
            <v>3733429</v>
          </cell>
          <cell r="B14">
            <v>0</v>
          </cell>
          <cell r="C14">
            <v>0</v>
          </cell>
          <cell r="D14">
            <v>3429</v>
          </cell>
          <cell r="E14" t="str">
            <v>Arbourthorne Community Primary School</v>
          </cell>
          <cell r="F14">
            <v>14</v>
          </cell>
          <cell r="I14">
            <v>14</v>
          </cell>
        </row>
        <row r="15">
          <cell r="A15">
            <v>3732340</v>
          </cell>
          <cell r="B15">
            <v>0</v>
          </cell>
          <cell r="C15">
            <v>0</v>
          </cell>
          <cell r="D15">
            <v>2340</v>
          </cell>
          <cell r="E15" t="str">
            <v>Athelstan Primary School</v>
          </cell>
        </row>
        <row r="16">
          <cell r="A16">
            <v>3732281</v>
          </cell>
          <cell r="B16">
            <v>0</v>
          </cell>
          <cell r="C16">
            <v>0</v>
          </cell>
          <cell r="D16">
            <v>2281</v>
          </cell>
          <cell r="E16" t="str">
            <v>Ballifield Primary School</v>
          </cell>
        </row>
        <row r="17">
          <cell r="A17">
            <v>3732322</v>
          </cell>
          <cell r="B17">
            <v>0</v>
          </cell>
          <cell r="C17">
            <v>0</v>
          </cell>
          <cell r="D17">
            <v>2322</v>
          </cell>
          <cell r="E17" t="str">
            <v>Bankwood Community Primary School</v>
          </cell>
        </row>
        <row r="18">
          <cell r="A18">
            <v>3732274</v>
          </cell>
          <cell r="B18" t="str">
            <v>Recoupment Academy</v>
          </cell>
          <cell r="C18">
            <v>0</v>
          </cell>
          <cell r="D18">
            <v>2274</v>
          </cell>
          <cell r="E18" t="str">
            <v>Beck Primary School</v>
          </cell>
          <cell r="F18">
            <v>6</v>
          </cell>
          <cell r="I18">
            <v>6</v>
          </cell>
        </row>
        <row r="19">
          <cell r="A19">
            <v>3732241</v>
          </cell>
          <cell r="B19">
            <v>0</v>
          </cell>
          <cell r="C19">
            <v>0</v>
          </cell>
          <cell r="D19">
            <v>2241</v>
          </cell>
          <cell r="E19" t="str">
            <v>Beighton Nursery Infant School</v>
          </cell>
        </row>
        <row r="20">
          <cell r="A20">
            <v>3732353</v>
          </cell>
          <cell r="B20" t="str">
            <v>Recoupment Academy</v>
          </cell>
          <cell r="C20">
            <v>0</v>
          </cell>
          <cell r="D20">
            <v>2353</v>
          </cell>
          <cell r="E20" t="str">
            <v>Birley Primary Academy</v>
          </cell>
        </row>
        <row r="21">
          <cell r="A21">
            <v>3732323</v>
          </cell>
          <cell r="B21" t="str">
            <v>Recoupment Academy</v>
          </cell>
          <cell r="C21">
            <v>0</v>
          </cell>
          <cell r="D21">
            <v>2323</v>
          </cell>
          <cell r="E21" t="str">
            <v>Birley Spa Primary Academy</v>
          </cell>
          <cell r="F21">
            <v>9</v>
          </cell>
          <cell r="I21">
            <v>9</v>
          </cell>
        </row>
        <row r="22">
          <cell r="A22">
            <v>3732328</v>
          </cell>
          <cell r="B22" t="str">
            <v>Recoupment Academy</v>
          </cell>
          <cell r="C22">
            <v>0</v>
          </cell>
          <cell r="D22">
            <v>2328</v>
          </cell>
          <cell r="E22" t="str">
            <v>Bradfield Dungworth Primary School</v>
          </cell>
        </row>
        <row r="23">
          <cell r="A23">
            <v>3732233</v>
          </cell>
          <cell r="B23">
            <v>0</v>
          </cell>
          <cell r="C23">
            <v>0</v>
          </cell>
          <cell r="D23">
            <v>2233</v>
          </cell>
          <cell r="E23" t="str">
            <v>Bradway Primary School</v>
          </cell>
        </row>
        <row r="24">
          <cell r="A24">
            <v>3732014</v>
          </cell>
          <cell r="B24">
            <v>0</v>
          </cell>
          <cell r="C24">
            <v>0</v>
          </cell>
          <cell r="D24">
            <v>2014</v>
          </cell>
          <cell r="E24" t="str">
            <v>Brightside Nursery and Infant School</v>
          </cell>
        </row>
        <row r="25">
          <cell r="A25">
            <v>3732246</v>
          </cell>
          <cell r="B25">
            <v>0</v>
          </cell>
          <cell r="C25">
            <v>0</v>
          </cell>
          <cell r="D25">
            <v>2246</v>
          </cell>
          <cell r="E25" t="str">
            <v>Brook House Junior School</v>
          </cell>
        </row>
        <row r="26">
          <cell r="A26">
            <v>3735204</v>
          </cell>
          <cell r="B26">
            <v>0</v>
          </cell>
          <cell r="C26">
            <v>0</v>
          </cell>
          <cell r="D26">
            <v>5204</v>
          </cell>
          <cell r="E26" t="str">
            <v>Broomhill Infant School</v>
          </cell>
        </row>
        <row r="27">
          <cell r="A27">
            <v>3732325</v>
          </cell>
          <cell r="B27">
            <v>0</v>
          </cell>
          <cell r="C27">
            <v>0</v>
          </cell>
          <cell r="D27">
            <v>2325</v>
          </cell>
          <cell r="E27" t="str">
            <v>Brunswick Community Primary School</v>
          </cell>
        </row>
        <row r="28">
          <cell r="A28">
            <v>3732095</v>
          </cell>
          <cell r="B28" t="str">
            <v>Recoupment Academy</v>
          </cell>
          <cell r="C28">
            <v>0</v>
          </cell>
          <cell r="D28">
            <v>2095</v>
          </cell>
          <cell r="E28" t="str">
            <v>Byron Wood Primary Academy</v>
          </cell>
        </row>
        <row r="29">
          <cell r="A29">
            <v>3732344</v>
          </cell>
          <cell r="B29">
            <v>0</v>
          </cell>
          <cell r="C29">
            <v>0</v>
          </cell>
          <cell r="D29">
            <v>2344</v>
          </cell>
          <cell r="E29" t="str">
            <v>Carfield Primary School</v>
          </cell>
        </row>
        <row r="30">
          <cell r="A30">
            <v>3732023</v>
          </cell>
          <cell r="B30">
            <v>0</v>
          </cell>
          <cell r="C30">
            <v>0</v>
          </cell>
          <cell r="D30">
            <v>2023</v>
          </cell>
          <cell r="E30" t="str">
            <v>Carter Knowle Junior School</v>
          </cell>
        </row>
        <row r="31">
          <cell r="A31">
            <v>3732354</v>
          </cell>
          <cell r="B31" t="str">
            <v>Recoupment Academy</v>
          </cell>
          <cell r="C31">
            <v>0</v>
          </cell>
          <cell r="D31">
            <v>2354</v>
          </cell>
          <cell r="E31" t="str">
            <v>Charnock Hall Primary Academy</v>
          </cell>
        </row>
        <row r="32">
          <cell r="A32">
            <v>3735200</v>
          </cell>
          <cell r="B32">
            <v>0</v>
          </cell>
          <cell r="C32">
            <v>0</v>
          </cell>
          <cell r="D32">
            <v>5200</v>
          </cell>
          <cell r="E32" t="str">
            <v>Clifford All Saints CofE Primary School</v>
          </cell>
        </row>
        <row r="33">
          <cell r="A33">
            <v>3732312</v>
          </cell>
          <cell r="B33">
            <v>0</v>
          </cell>
          <cell r="C33">
            <v>0</v>
          </cell>
          <cell r="D33">
            <v>2312</v>
          </cell>
          <cell r="E33" t="str">
            <v>Coit Primary School</v>
          </cell>
        </row>
        <row r="34">
          <cell r="A34">
            <v>3732026</v>
          </cell>
          <cell r="B34" t="str">
            <v>Recoupment Academy</v>
          </cell>
          <cell r="C34">
            <v>0</v>
          </cell>
          <cell r="D34">
            <v>2026</v>
          </cell>
          <cell r="E34" t="str">
            <v>Concord Junior School</v>
          </cell>
        </row>
        <row r="35">
          <cell r="A35">
            <v>3733422</v>
          </cell>
          <cell r="B35">
            <v>0</v>
          </cell>
          <cell r="C35">
            <v>0</v>
          </cell>
          <cell r="D35">
            <v>3422</v>
          </cell>
          <cell r="E35" t="str">
            <v>Deepcar St John's Church of England Junior School</v>
          </cell>
        </row>
        <row r="36">
          <cell r="A36">
            <v>3732283</v>
          </cell>
          <cell r="B36">
            <v>0</v>
          </cell>
          <cell r="C36">
            <v>0</v>
          </cell>
          <cell r="D36">
            <v>2283</v>
          </cell>
          <cell r="E36" t="str">
            <v>Dobcroft Infant School</v>
          </cell>
        </row>
        <row r="37">
          <cell r="A37">
            <v>3732239</v>
          </cell>
          <cell r="B37">
            <v>0</v>
          </cell>
          <cell r="C37">
            <v>0</v>
          </cell>
          <cell r="D37">
            <v>2239</v>
          </cell>
          <cell r="E37" t="str">
            <v>Dobcroft Junior School</v>
          </cell>
        </row>
        <row r="38">
          <cell r="A38">
            <v>3732364</v>
          </cell>
          <cell r="B38">
            <v>0</v>
          </cell>
          <cell r="C38">
            <v>0</v>
          </cell>
          <cell r="D38">
            <v>2364</v>
          </cell>
          <cell r="E38" t="str">
            <v>Dore Primary School</v>
          </cell>
        </row>
        <row r="39">
          <cell r="A39">
            <v>3732016</v>
          </cell>
          <cell r="B39" t="str">
            <v>Recoupment Academy</v>
          </cell>
          <cell r="C39">
            <v>0</v>
          </cell>
          <cell r="D39">
            <v>2016</v>
          </cell>
          <cell r="E39" t="str">
            <v>E-Act Pathways Academy</v>
          </cell>
        </row>
        <row r="40">
          <cell r="A40">
            <v>3732206</v>
          </cell>
          <cell r="B40">
            <v>0</v>
          </cell>
          <cell r="C40">
            <v>0</v>
          </cell>
          <cell r="D40">
            <v>2206</v>
          </cell>
          <cell r="E40" t="str">
            <v>Ecclesall Primary School</v>
          </cell>
        </row>
        <row r="41">
          <cell r="A41">
            <v>3732080</v>
          </cell>
          <cell r="B41">
            <v>0</v>
          </cell>
          <cell r="C41">
            <v>0</v>
          </cell>
          <cell r="D41">
            <v>2080</v>
          </cell>
          <cell r="E41" t="str">
            <v>Ecclesfield Primary School</v>
          </cell>
        </row>
        <row r="42">
          <cell r="A42">
            <v>3732024</v>
          </cell>
          <cell r="B42" t="str">
            <v>Recoupment Academy</v>
          </cell>
          <cell r="C42">
            <v>0</v>
          </cell>
          <cell r="D42">
            <v>2024</v>
          </cell>
          <cell r="E42" t="str">
            <v>Emmanuel Anglican/Methodist Junior School</v>
          </cell>
        </row>
        <row r="43">
          <cell r="A43">
            <v>3732028</v>
          </cell>
          <cell r="B43" t="str">
            <v>Recoupment Academy</v>
          </cell>
          <cell r="C43">
            <v>0</v>
          </cell>
          <cell r="D43">
            <v>2028</v>
          </cell>
          <cell r="E43" t="str">
            <v>Emmaus Catholic and CofE Primary School</v>
          </cell>
        </row>
        <row r="44">
          <cell r="A44">
            <v>3732010</v>
          </cell>
          <cell r="B44" t="str">
            <v>Recoupment Academy</v>
          </cell>
          <cell r="C44">
            <v>0</v>
          </cell>
          <cell r="D44">
            <v>2010</v>
          </cell>
          <cell r="E44" t="str">
            <v>Fox Hill Primary</v>
          </cell>
          <cell r="F44">
            <v>21</v>
          </cell>
          <cell r="I44">
            <v>21</v>
          </cell>
        </row>
        <row r="45">
          <cell r="A45">
            <v>3732036</v>
          </cell>
          <cell r="B45">
            <v>0</v>
          </cell>
          <cell r="C45">
            <v>0</v>
          </cell>
          <cell r="D45">
            <v>2036</v>
          </cell>
          <cell r="E45" t="str">
            <v>Gleadless Primary School</v>
          </cell>
        </row>
        <row r="46">
          <cell r="A46">
            <v>3732305</v>
          </cell>
          <cell r="B46" t="str">
            <v>Recoupment Academy</v>
          </cell>
          <cell r="C46">
            <v>0</v>
          </cell>
          <cell r="D46">
            <v>2305</v>
          </cell>
          <cell r="E46" t="str">
            <v>Greengate Lane Academy</v>
          </cell>
        </row>
        <row r="47">
          <cell r="A47">
            <v>3732341</v>
          </cell>
          <cell r="B47" t="str">
            <v>Recoupment Academy</v>
          </cell>
          <cell r="C47">
            <v>0</v>
          </cell>
          <cell r="D47">
            <v>2341</v>
          </cell>
          <cell r="E47" t="str">
            <v>Greenhill Primary School</v>
          </cell>
        </row>
        <row r="48">
          <cell r="A48">
            <v>3732296</v>
          </cell>
          <cell r="B48">
            <v>0</v>
          </cell>
          <cell r="C48">
            <v>0</v>
          </cell>
          <cell r="D48">
            <v>2296</v>
          </cell>
          <cell r="E48" t="str">
            <v>Grenoside Community Primary School</v>
          </cell>
        </row>
        <row r="49">
          <cell r="A49">
            <v>3732356</v>
          </cell>
          <cell r="B49">
            <v>0</v>
          </cell>
          <cell r="C49">
            <v>0</v>
          </cell>
          <cell r="D49">
            <v>2356</v>
          </cell>
          <cell r="E49" t="str">
            <v>Greystones Primary School</v>
          </cell>
        </row>
        <row r="50">
          <cell r="A50">
            <v>3732279</v>
          </cell>
          <cell r="B50">
            <v>0</v>
          </cell>
          <cell r="C50">
            <v>0</v>
          </cell>
          <cell r="D50">
            <v>2279</v>
          </cell>
          <cell r="E50" t="str">
            <v>Halfway Junior School</v>
          </cell>
        </row>
        <row r="51">
          <cell r="A51">
            <v>3732252</v>
          </cell>
          <cell r="B51">
            <v>0</v>
          </cell>
          <cell r="C51">
            <v>0</v>
          </cell>
          <cell r="D51">
            <v>2252</v>
          </cell>
          <cell r="E51" t="str">
            <v>Halfway Nursery Infant School</v>
          </cell>
        </row>
        <row r="52">
          <cell r="A52">
            <v>3732357</v>
          </cell>
          <cell r="B52" t="str">
            <v>Recoupment Academy</v>
          </cell>
          <cell r="C52">
            <v>0</v>
          </cell>
          <cell r="D52">
            <v>2357</v>
          </cell>
          <cell r="E52" t="str">
            <v>Hallam Primary School</v>
          </cell>
        </row>
        <row r="53">
          <cell r="A53">
            <v>3732050</v>
          </cell>
          <cell r="B53" t="str">
            <v>Recoupment Academy</v>
          </cell>
          <cell r="C53">
            <v>0</v>
          </cell>
          <cell r="D53">
            <v>2050</v>
          </cell>
          <cell r="E53" t="str">
            <v>Hartley Brook Primary School</v>
          </cell>
        </row>
        <row r="54">
          <cell r="A54">
            <v>3732049</v>
          </cell>
          <cell r="B54" t="str">
            <v>Recoupment Academy</v>
          </cell>
          <cell r="C54">
            <v>0</v>
          </cell>
          <cell r="D54">
            <v>2049</v>
          </cell>
          <cell r="E54" t="str">
            <v>Hatfield Academy</v>
          </cell>
        </row>
        <row r="55">
          <cell r="A55">
            <v>3732297</v>
          </cell>
          <cell r="B55">
            <v>0</v>
          </cell>
          <cell r="C55">
            <v>0</v>
          </cell>
          <cell r="D55">
            <v>2297</v>
          </cell>
          <cell r="E55" t="str">
            <v>High Green Primary School</v>
          </cell>
        </row>
        <row r="56">
          <cell r="A56">
            <v>3732042</v>
          </cell>
          <cell r="B56" t="str">
            <v>Recoupment Academy</v>
          </cell>
          <cell r="C56">
            <v>0</v>
          </cell>
          <cell r="D56">
            <v>2042</v>
          </cell>
          <cell r="E56" t="str">
            <v>High Hazels Junior School</v>
          </cell>
        </row>
        <row r="57">
          <cell r="A57">
            <v>3732039</v>
          </cell>
          <cell r="B57" t="str">
            <v>Recoupment Academy</v>
          </cell>
          <cell r="C57">
            <v>0</v>
          </cell>
          <cell r="D57">
            <v>2039</v>
          </cell>
          <cell r="E57" t="str">
            <v>High Hazels Nursery Infant Academy</v>
          </cell>
        </row>
        <row r="58">
          <cell r="A58">
            <v>3732339</v>
          </cell>
          <cell r="B58" t="str">
            <v>Recoupment Academy</v>
          </cell>
          <cell r="C58">
            <v>0</v>
          </cell>
          <cell r="D58">
            <v>2339</v>
          </cell>
          <cell r="E58" t="str">
            <v>Hillsborough Primary School</v>
          </cell>
        </row>
        <row r="59">
          <cell r="A59">
            <v>3732213</v>
          </cell>
          <cell r="B59">
            <v>0</v>
          </cell>
          <cell r="C59">
            <v>0</v>
          </cell>
          <cell r="D59">
            <v>2213</v>
          </cell>
          <cell r="E59" t="str">
            <v>Holt House Infant School</v>
          </cell>
        </row>
        <row r="60">
          <cell r="A60">
            <v>3732337</v>
          </cell>
          <cell r="B60" t="str">
            <v>Recoupment Academy</v>
          </cell>
          <cell r="C60">
            <v>0</v>
          </cell>
          <cell r="D60">
            <v>2337</v>
          </cell>
          <cell r="E60" t="str">
            <v>Hucklow Primary School</v>
          </cell>
          <cell r="F60">
            <v>4</v>
          </cell>
          <cell r="I60">
            <v>4</v>
          </cell>
        </row>
        <row r="61">
          <cell r="A61">
            <v>3732060</v>
          </cell>
          <cell r="B61">
            <v>0</v>
          </cell>
          <cell r="C61">
            <v>0</v>
          </cell>
          <cell r="D61">
            <v>2060</v>
          </cell>
          <cell r="E61" t="str">
            <v>Hunter's Bar Infant School</v>
          </cell>
        </row>
        <row r="62">
          <cell r="A62">
            <v>3732058</v>
          </cell>
          <cell r="B62">
            <v>0</v>
          </cell>
          <cell r="C62">
            <v>0</v>
          </cell>
          <cell r="D62">
            <v>2058</v>
          </cell>
          <cell r="E62" t="str">
            <v>Hunter's Bar Junior School</v>
          </cell>
        </row>
        <row r="63">
          <cell r="A63">
            <v>3732063</v>
          </cell>
          <cell r="B63">
            <v>0</v>
          </cell>
          <cell r="C63">
            <v>0</v>
          </cell>
          <cell r="D63">
            <v>2063</v>
          </cell>
          <cell r="E63" t="str">
            <v>Intake Primary School</v>
          </cell>
        </row>
        <row r="64">
          <cell r="A64">
            <v>3732261</v>
          </cell>
          <cell r="B64">
            <v>0</v>
          </cell>
          <cell r="C64">
            <v>0</v>
          </cell>
          <cell r="D64">
            <v>2261</v>
          </cell>
          <cell r="E64" t="str">
            <v>Limpsfield Junior School</v>
          </cell>
        </row>
        <row r="65">
          <cell r="A65">
            <v>3732315</v>
          </cell>
          <cell r="B65" t="str">
            <v>Recoupment Academy</v>
          </cell>
          <cell r="C65">
            <v>0</v>
          </cell>
          <cell r="D65">
            <v>2315</v>
          </cell>
          <cell r="E65" t="str">
            <v>Lound Infant School</v>
          </cell>
        </row>
        <row r="66">
          <cell r="A66">
            <v>3732298</v>
          </cell>
          <cell r="B66" t="str">
            <v>Recoupment Academy</v>
          </cell>
          <cell r="C66">
            <v>0</v>
          </cell>
          <cell r="D66">
            <v>2298</v>
          </cell>
          <cell r="E66" t="str">
            <v>Lound Junior School</v>
          </cell>
        </row>
        <row r="67">
          <cell r="A67">
            <v>3732029</v>
          </cell>
          <cell r="B67" t="str">
            <v>Recoupment Academy</v>
          </cell>
          <cell r="C67">
            <v>0</v>
          </cell>
          <cell r="D67">
            <v>2029</v>
          </cell>
          <cell r="E67" t="str">
            <v>Lowedges Junior Academy</v>
          </cell>
        </row>
        <row r="68">
          <cell r="A68">
            <v>3732045</v>
          </cell>
          <cell r="B68" t="str">
            <v>Recoupment Academy</v>
          </cell>
          <cell r="C68">
            <v>0</v>
          </cell>
          <cell r="D68">
            <v>2045</v>
          </cell>
          <cell r="E68" t="str">
            <v>Lower Meadow Primary School</v>
          </cell>
        </row>
        <row r="69">
          <cell r="A69">
            <v>3732070</v>
          </cell>
          <cell r="B69">
            <v>0</v>
          </cell>
          <cell r="C69">
            <v>0</v>
          </cell>
          <cell r="D69">
            <v>2070</v>
          </cell>
          <cell r="E69" t="str">
            <v>Lowfield Community Primary School</v>
          </cell>
        </row>
        <row r="70">
          <cell r="A70">
            <v>3732292</v>
          </cell>
          <cell r="B70" t="str">
            <v>Recoupment Academy</v>
          </cell>
          <cell r="C70">
            <v>0</v>
          </cell>
          <cell r="D70">
            <v>2292</v>
          </cell>
          <cell r="E70" t="str">
            <v>Loxley Primary School</v>
          </cell>
        </row>
        <row r="71">
          <cell r="A71">
            <v>3732072</v>
          </cell>
          <cell r="B71">
            <v>0</v>
          </cell>
          <cell r="C71">
            <v>0</v>
          </cell>
          <cell r="D71">
            <v>2072</v>
          </cell>
          <cell r="E71" t="str">
            <v>Lydgate Infant School</v>
          </cell>
        </row>
        <row r="72">
          <cell r="A72">
            <v>3732071</v>
          </cell>
          <cell r="B72">
            <v>0</v>
          </cell>
          <cell r="C72">
            <v>0</v>
          </cell>
          <cell r="D72">
            <v>2071</v>
          </cell>
          <cell r="E72" t="str">
            <v>Lydgate Junior School</v>
          </cell>
        </row>
        <row r="73">
          <cell r="A73">
            <v>3732358</v>
          </cell>
          <cell r="B73">
            <v>0</v>
          </cell>
          <cell r="C73">
            <v>0</v>
          </cell>
          <cell r="D73">
            <v>2358</v>
          </cell>
          <cell r="E73" t="str">
            <v>Malin Bridge Primary School</v>
          </cell>
        </row>
        <row r="74">
          <cell r="A74">
            <v>3732359</v>
          </cell>
          <cell r="B74" t="str">
            <v>Recoupment Academy</v>
          </cell>
          <cell r="C74">
            <v>0</v>
          </cell>
          <cell r="D74">
            <v>2359</v>
          </cell>
          <cell r="E74" t="str">
            <v>Manor Lodge Community Primary and Nursery School</v>
          </cell>
        </row>
        <row r="75">
          <cell r="A75">
            <v>3732012</v>
          </cell>
          <cell r="B75" t="str">
            <v>Recoupment Academy</v>
          </cell>
          <cell r="C75">
            <v>0</v>
          </cell>
          <cell r="D75">
            <v>2012</v>
          </cell>
          <cell r="E75" t="str">
            <v>Mansel Primary</v>
          </cell>
        </row>
        <row r="76">
          <cell r="A76">
            <v>3732079</v>
          </cell>
          <cell r="B76">
            <v>0</v>
          </cell>
          <cell r="C76">
            <v>0</v>
          </cell>
          <cell r="D76">
            <v>2079</v>
          </cell>
          <cell r="E76" t="str">
            <v>Marlcliffe Community Primary School</v>
          </cell>
        </row>
        <row r="77">
          <cell r="A77">
            <v>3732081</v>
          </cell>
          <cell r="B77">
            <v>0</v>
          </cell>
          <cell r="C77">
            <v>0</v>
          </cell>
          <cell r="D77">
            <v>2081</v>
          </cell>
          <cell r="E77" t="str">
            <v>Meersbrook Bank Primary School</v>
          </cell>
        </row>
        <row r="78">
          <cell r="A78">
            <v>3732013</v>
          </cell>
          <cell r="B78" t="str">
            <v>Recoupment Academy</v>
          </cell>
          <cell r="C78">
            <v>0</v>
          </cell>
          <cell r="D78">
            <v>2013</v>
          </cell>
          <cell r="E78" t="str">
            <v>Meynell Community Primary School</v>
          </cell>
        </row>
        <row r="79">
          <cell r="A79">
            <v>3732346</v>
          </cell>
          <cell r="B79" t="str">
            <v>Recoupment Academy</v>
          </cell>
          <cell r="C79">
            <v>0</v>
          </cell>
          <cell r="D79">
            <v>2346</v>
          </cell>
          <cell r="E79" t="str">
            <v>Monteney Primary School</v>
          </cell>
        </row>
        <row r="80">
          <cell r="A80">
            <v>3732257</v>
          </cell>
          <cell r="B80">
            <v>0</v>
          </cell>
          <cell r="C80">
            <v>0</v>
          </cell>
          <cell r="D80">
            <v>2257</v>
          </cell>
          <cell r="E80" t="str">
            <v>Mosborough Primary School</v>
          </cell>
        </row>
        <row r="81">
          <cell r="A81">
            <v>3732092</v>
          </cell>
          <cell r="B81">
            <v>0</v>
          </cell>
          <cell r="C81">
            <v>0</v>
          </cell>
          <cell r="D81">
            <v>2092</v>
          </cell>
          <cell r="E81" t="str">
            <v>Mundella Primary School</v>
          </cell>
        </row>
        <row r="82">
          <cell r="A82">
            <v>3732002</v>
          </cell>
          <cell r="B82" t="str">
            <v>Recoupment Academy</v>
          </cell>
          <cell r="C82">
            <v>0</v>
          </cell>
          <cell r="D82">
            <v>2002</v>
          </cell>
          <cell r="E82" t="str">
            <v>Nether Edge Primary School</v>
          </cell>
        </row>
        <row r="83">
          <cell r="A83">
            <v>3732221</v>
          </cell>
          <cell r="B83">
            <v>0</v>
          </cell>
          <cell r="C83">
            <v>0</v>
          </cell>
          <cell r="D83">
            <v>2221</v>
          </cell>
          <cell r="E83" t="str">
            <v>Nether Green Infant School</v>
          </cell>
        </row>
        <row r="84">
          <cell r="A84">
            <v>3732087</v>
          </cell>
          <cell r="B84">
            <v>0</v>
          </cell>
          <cell r="C84">
            <v>0</v>
          </cell>
          <cell r="D84">
            <v>2087</v>
          </cell>
          <cell r="E84" t="str">
            <v>Nether Green Junior School</v>
          </cell>
          <cell r="F84">
            <v>16</v>
          </cell>
          <cell r="I84">
            <v>16</v>
          </cell>
        </row>
        <row r="85">
          <cell r="A85">
            <v>3732272</v>
          </cell>
          <cell r="B85">
            <v>0</v>
          </cell>
          <cell r="C85">
            <v>0</v>
          </cell>
          <cell r="D85">
            <v>2272</v>
          </cell>
          <cell r="E85" t="str">
            <v>Netherthorpe Primary School</v>
          </cell>
        </row>
        <row r="86">
          <cell r="A86">
            <v>3732309</v>
          </cell>
          <cell r="B86" t="str">
            <v>Recoupment Academy</v>
          </cell>
          <cell r="C86">
            <v>0</v>
          </cell>
          <cell r="D86">
            <v>2309</v>
          </cell>
          <cell r="E86" t="str">
            <v>Nook Lane Junior School</v>
          </cell>
          <cell r="F86">
            <v>12</v>
          </cell>
          <cell r="I86">
            <v>12</v>
          </cell>
        </row>
        <row r="87">
          <cell r="A87">
            <v>3732051</v>
          </cell>
          <cell r="B87" t="str">
            <v>Recoupment Academy</v>
          </cell>
          <cell r="C87">
            <v>0</v>
          </cell>
          <cell r="D87">
            <v>2051</v>
          </cell>
          <cell r="E87" t="str">
            <v>Norfolk Community Primary School</v>
          </cell>
        </row>
        <row r="88">
          <cell r="A88">
            <v>3733010</v>
          </cell>
          <cell r="B88">
            <v>0</v>
          </cell>
          <cell r="C88">
            <v>0</v>
          </cell>
          <cell r="D88">
            <v>3010</v>
          </cell>
          <cell r="E88" t="str">
            <v>Norton Free Church of England Primary School</v>
          </cell>
        </row>
        <row r="89">
          <cell r="A89">
            <v>3732018</v>
          </cell>
          <cell r="B89" t="str">
            <v>Recoupment Academy</v>
          </cell>
          <cell r="C89">
            <v>0</v>
          </cell>
          <cell r="D89">
            <v>2018</v>
          </cell>
          <cell r="E89" t="str">
            <v>Oasis Academy Fir Vale</v>
          </cell>
        </row>
        <row r="90">
          <cell r="A90">
            <v>3732019</v>
          </cell>
          <cell r="B90" t="str">
            <v>Recoupment Academy</v>
          </cell>
          <cell r="C90">
            <v>0</v>
          </cell>
          <cell r="D90">
            <v>2019</v>
          </cell>
          <cell r="E90" t="str">
            <v>Oasis Academy Watermead</v>
          </cell>
        </row>
        <row r="91">
          <cell r="A91">
            <v>3732313</v>
          </cell>
          <cell r="B91" t="str">
            <v>Recoupment Academy</v>
          </cell>
          <cell r="C91">
            <v>0</v>
          </cell>
          <cell r="D91">
            <v>2313</v>
          </cell>
          <cell r="E91" t="str">
            <v>Oughtibridge Primary School</v>
          </cell>
        </row>
        <row r="92">
          <cell r="A92">
            <v>3732093</v>
          </cell>
          <cell r="B92" t="str">
            <v>Recoupment Academy</v>
          </cell>
          <cell r="C92">
            <v>0</v>
          </cell>
          <cell r="D92">
            <v>2093</v>
          </cell>
          <cell r="E92" t="str">
            <v>Owler Brook Primary School</v>
          </cell>
        </row>
        <row r="93">
          <cell r="A93">
            <v>3733428</v>
          </cell>
          <cell r="B93">
            <v>0</v>
          </cell>
          <cell r="C93">
            <v>0</v>
          </cell>
          <cell r="D93">
            <v>3428</v>
          </cell>
          <cell r="E93" t="str">
            <v>Parson Cross Church of England Primary School</v>
          </cell>
        </row>
        <row r="94">
          <cell r="A94">
            <v>3732332</v>
          </cell>
          <cell r="B94" t="str">
            <v>Recoupment Academy</v>
          </cell>
          <cell r="C94">
            <v>0</v>
          </cell>
          <cell r="D94">
            <v>2332</v>
          </cell>
          <cell r="E94" t="str">
            <v>Phillimore Community Primary School</v>
          </cell>
        </row>
        <row r="95">
          <cell r="A95">
            <v>3733433</v>
          </cell>
          <cell r="B95">
            <v>0</v>
          </cell>
          <cell r="C95">
            <v>0</v>
          </cell>
          <cell r="D95">
            <v>3433</v>
          </cell>
          <cell r="E95" t="str">
            <v>Pipworth Community Primary School</v>
          </cell>
        </row>
        <row r="96">
          <cell r="A96">
            <v>3733427</v>
          </cell>
          <cell r="B96" t="str">
            <v>Recoupment Academy</v>
          </cell>
          <cell r="C96">
            <v>0</v>
          </cell>
          <cell r="D96">
            <v>3427</v>
          </cell>
          <cell r="E96" t="str">
            <v>Porter Croft Church of England Primary Academy</v>
          </cell>
        </row>
        <row r="97">
          <cell r="A97">
            <v>3732347</v>
          </cell>
          <cell r="B97">
            <v>0</v>
          </cell>
          <cell r="C97">
            <v>0</v>
          </cell>
          <cell r="D97">
            <v>2347</v>
          </cell>
          <cell r="E97" t="str">
            <v>Prince Edward Primary School</v>
          </cell>
        </row>
        <row r="98">
          <cell r="A98">
            <v>3732366</v>
          </cell>
          <cell r="B98" t="str">
            <v>Recoupment Academy</v>
          </cell>
          <cell r="C98">
            <v>0</v>
          </cell>
          <cell r="D98">
            <v>2366</v>
          </cell>
          <cell r="E98" t="str">
            <v>Pye Bank CofE Primary School</v>
          </cell>
        </row>
        <row r="99">
          <cell r="A99">
            <v>3732363</v>
          </cell>
          <cell r="B99" t="str">
            <v>Recoupment Academy</v>
          </cell>
          <cell r="C99">
            <v>0</v>
          </cell>
          <cell r="D99">
            <v>2363</v>
          </cell>
          <cell r="E99" t="str">
            <v>Rainbow Forge Primary Academy</v>
          </cell>
        </row>
        <row r="100">
          <cell r="A100">
            <v>3732334</v>
          </cell>
          <cell r="B100">
            <v>0</v>
          </cell>
          <cell r="C100">
            <v>0</v>
          </cell>
          <cell r="D100">
            <v>2334</v>
          </cell>
          <cell r="E100" t="str">
            <v>Reignhead Primary School</v>
          </cell>
        </row>
        <row r="101">
          <cell r="A101">
            <v>3732338</v>
          </cell>
          <cell r="B101">
            <v>0</v>
          </cell>
          <cell r="C101">
            <v>0</v>
          </cell>
          <cell r="D101">
            <v>2338</v>
          </cell>
          <cell r="E101" t="str">
            <v>Rivelin Primary School</v>
          </cell>
        </row>
        <row r="102">
          <cell r="A102">
            <v>3732306</v>
          </cell>
          <cell r="B102">
            <v>0</v>
          </cell>
          <cell r="C102">
            <v>0</v>
          </cell>
          <cell r="D102">
            <v>2306</v>
          </cell>
          <cell r="E102" t="str">
            <v>Royd Nursery and Infant School</v>
          </cell>
        </row>
        <row r="103">
          <cell r="A103">
            <v>3733401</v>
          </cell>
          <cell r="B103" t="str">
            <v>Recoupment Academy</v>
          </cell>
          <cell r="C103">
            <v>0</v>
          </cell>
          <cell r="D103">
            <v>3401</v>
          </cell>
          <cell r="E103" t="str">
            <v>Sacred Heart School, A Catholic Voluntary Academy</v>
          </cell>
        </row>
        <row r="104">
          <cell r="A104">
            <v>3732369</v>
          </cell>
          <cell r="B104">
            <v>0</v>
          </cell>
          <cell r="C104">
            <v>0</v>
          </cell>
          <cell r="D104">
            <v>2369</v>
          </cell>
          <cell r="E104" t="str">
            <v>Sharrow Nursery, Infant and Junior School</v>
          </cell>
        </row>
        <row r="105">
          <cell r="A105">
            <v>3732349</v>
          </cell>
          <cell r="B105">
            <v>0</v>
          </cell>
          <cell r="C105">
            <v>0</v>
          </cell>
          <cell r="D105">
            <v>2349</v>
          </cell>
          <cell r="E105" t="str">
            <v>Shooter's Grove Primary School</v>
          </cell>
        </row>
        <row r="106">
          <cell r="A106">
            <v>3732360</v>
          </cell>
          <cell r="B106">
            <v>0</v>
          </cell>
          <cell r="C106">
            <v>0</v>
          </cell>
          <cell r="D106">
            <v>2360</v>
          </cell>
          <cell r="E106" t="str">
            <v>Shortbrook Primary School</v>
          </cell>
        </row>
        <row r="107">
          <cell r="A107">
            <v>3732009</v>
          </cell>
          <cell r="B107" t="str">
            <v>Recoupment Academy</v>
          </cell>
          <cell r="C107">
            <v>0</v>
          </cell>
          <cell r="D107">
            <v>2009</v>
          </cell>
          <cell r="E107" t="str">
            <v>Southey Green Primary School and Nurseries</v>
          </cell>
        </row>
        <row r="108">
          <cell r="A108">
            <v>3732329</v>
          </cell>
          <cell r="B108">
            <v>0</v>
          </cell>
          <cell r="C108">
            <v>0</v>
          </cell>
          <cell r="D108">
            <v>2329</v>
          </cell>
          <cell r="E108" t="str">
            <v>Springfield Primary School</v>
          </cell>
        </row>
        <row r="109">
          <cell r="A109">
            <v>3735202</v>
          </cell>
          <cell r="B109" t="str">
            <v>Recoupment Academy</v>
          </cell>
          <cell r="C109">
            <v>0</v>
          </cell>
          <cell r="D109">
            <v>5202</v>
          </cell>
          <cell r="E109" t="str">
            <v>St Ann's Catholic Primary School, A Voluntary Academy</v>
          </cell>
        </row>
        <row r="110">
          <cell r="A110">
            <v>3733402</v>
          </cell>
          <cell r="B110" t="str">
            <v>Recoupment Academy</v>
          </cell>
          <cell r="C110">
            <v>0</v>
          </cell>
          <cell r="D110">
            <v>3402</v>
          </cell>
          <cell r="E110" t="str">
            <v>St Catherine's Catholic Primary School (Hallam)</v>
          </cell>
        </row>
        <row r="111">
          <cell r="A111">
            <v>3732017</v>
          </cell>
          <cell r="B111" t="str">
            <v>Recoupment Academy</v>
          </cell>
          <cell r="C111">
            <v>0</v>
          </cell>
          <cell r="D111">
            <v>2017</v>
          </cell>
          <cell r="E111" t="str">
            <v>St John Fisher Primary, A Catholic Voluntary Academy</v>
          </cell>
        </row>
        <row r="112">
          <cell r="A112">
            <v>3735203</v>
          </cell>
          <cell r="B112" t="str">
            <v>Recoupment Academy</v>
          </cell>
          <cell r="C112">
            <v>0</v>
          </cell>
          <cell r="D112">
            <v>5203</v>
          </cell>
          <cell r="E112" t="str">
            <v>St Joseph's Primary School</v>
          </cell>
        </row>
        <row r="113">
          <cell r="A113">
            <v>3733406</v>
          </cell>
          <cell r="B113" t="str">
            <v>Recoupment Academy</v>
          </cell>
          <cell r="C113">
            <v>0</v>
          </cell>
          <cell r="D113">
            <v>3406</v>
          </cell>
          <cell r="E113" t="str">
            <v>St Marie's School, A Catholic Voluntary Academy</v>
          </cell>
        </row>
        <row r="114">
          <cell r="A114">
            <v>3732020</v>
          </cell>
          <cell r="B114" t="str">
            <v>Recoupment Academy</v>
          </cell>
          <cell r="C114">
            <v>0</v>
          </cell>
          <cell r="D114">
            <v>2020</v>
          </cell>
          <cell r="E114" t="str">
            <v>St Mary's Church of England Primary School</v>
          </cell>
        </row>
        <row r="115">
          <cell r="A115">
            <v>3733423</v>
          </cell>
          <cell r="B115" t="str">
            <v>Recoupment Academy</v>
          </cell>
          <cell r="C115">
            <v>0</v>
          </cell>
          <cell r="D115">
            <v>3423</v>
          </cell>
          <cell r="E115" t="str">
            <v>St Mary's Primary School, A Catholic Voluntary Academy</v>
          </cell>
        </row>
        <row r="116">
          <cell r="A116">
            <v>3735207</v>
          </cell>
          <cell r="B116" t="str">
            <v>Recoupment Academy</v>
          </cell>
          <cell r="C116">
            <v>0</v>
          </cell>
          <cell r="D116">
            <v>5207</v>
          </cell>
          <cell r="E116" t="str">
            <v>St Patrick's Catholic Voluntary Academy</v>
          </cell>
        </row>
        <row r="117">
          <cell r="A117">
            <v>3735208</v>
          </cell>
          <cell r="B117">
            <v>0</v>
          </cell>
          <cell r="C117">
            <v>0</v>
          </cell>
          <cell r="D117">
            <v>5208</v>
          </cell>
          <cell r="E117" t="str">
            <v>St Theresa's Catholic Primary School</v>
          </cell>
        </row>
        <row r="118">
          <cell r="A118">
            <v>3733424</v>
          </cell>
          <cell r="B118" t="str">
            <v>Recoupment Academy</v>
          </cell>
          <cell r="C118">
            <v>0</v>
          </cell>
          <cell r="D118">
            <v>3424</v>
          </cell>
          <cell r="E118" t="str">
            <v>St Thomas More Catholic Primary, A Voluntary Academy</v>
          </cell>
        </row>
        <row r="119">
          <cell r="A119">
            <v>3733414</v>
          </cell>
          <cell r="B119" t="str">
            <v>Recoupment Academy</v>
          </cell>
          <cell r="C119">
            <v>0</v>
          </cell>
          <cell r="D119">
            <v>3414</v>
          </cell>
          <cell r="E119" t="str">
            <v>St Thomas of Canterbury School, a Catholic Voluntary Academy</v>
          </cell>
          <cell r="F119">
            <v>15</v>
          </cell>
          <cell r="I119">
            <v>15</v>
          </cell>
        </row>
        <row r="120">
          <cell r="A120">
            <v>3733412</v>
          </cell>
          <cell r="B120" t="str">
            <v>Recoupment Academy</v>
          </cell>
          <cell r="C120">
            <v>0</v>
          </cell>
          <cell r="D120">
            <v>3412</v>
          </cell>
          <cell r="E120" t="str">
            <v>St Wilfrid's Catholic Primary School</v>
          </cell>
        </row>
        <row r="121">
          <cell r="A121">
            <v>3732294</v>
          </cell>
          <cell r="B121" t="str">
            <v>Recoupment Academy</v>
          </cell>
          <cell r="C121">
            <v>0</v>
          </cell>
          <cell r="D121">
            <v>2294</v>
          </cell>
          <cell r="E121" t="str">
            <v>Stannington Infant School</v>
          </cell>
        </row>
        <row r="122">
          <cell r="A122">
            <v>3732303</v>
          </cell>
          <cell r="B122">
            <v>0</v>
          </cell>
          <cell r="C122">
            <v>0</v>
          </cell>
          <cell r="D122">
            <v>2303</v>
          </cell>
          <cell r="E122" t="str">
            <v>Stocksbridge Junior School</v>
          </cell>
        </row>
        <row r="123">
          <cell r="A123">
            <v>3732302</v>
          </cell>
          <cell r="B123">
            <v>0</v>
          </cell>
          <cell r="C123">
            <v>0</v>
          </cell>
          <cell r="D123">
            <v>2302</v>
          </cell>
          <cell r="E123" t="str">
            <v>Stocksbridge Nursery Infant School</v>
          </cell>
        </row>
        <row r="124">
          <cell r="A124">
            <v>3732350</v>
          </cell>
          <cell r="B124">
            <v>0</v>
          </cell>
          <cell r="C124">
            <v>0</v>
          </cell>
          <cell r="D124">
            <v>2350</v>
          </cell>
          <cell r="E124" t="str">
            <v>Stradbroke Primary School</v>
          </cell>
          <cell r="F124">
            <v>23</v>
          </cell>
          <cell r="I124">
            <v>23</v>
          </cell>
        </row>
        <row r="125">
          <cell r="A125">
            <v>3732230</v>
          </cell>
          <cell r="B125" t="str">
            <v>Recoupment Academy</v>
          </cell>
          <cell r="C125">
            <v>0</v>
          </cell>
          <cell r="D125">
            <v>2230</v>
          </cell>
          <cell r="E125" t="str">
            <v>Tinsley Meadows Primary School</v>
          </cell>
        </row>
        <row r="126">
          <cell r="A126">
            <v>3735206</v>
          </cell>
          <cell r="B126" t="str">
            <v>Recoupment Academy</v>
          </cell>
          <cell r="C126">
            <v>0</v>
          </cell>
          <cell r="D126">
            <v>5206</v>
          </cell>
          <cell r="E126" t="str">
            <v>Totley All Saints Church of England Voluntary Aided Primary School</v>
          </cell>
        </row>
        <row r="127">
          <cell r="A127">
            <v>3732203</v>
          </cell>
          <cell r="B127" t="str">
            <v>Recoupment Academy</v>
          </cell>
          <cell r="C127">
            <v>0</v>
          </cell>
          <cell r="D127">
            <v>2203</v>
          </cell>
          <cell r="E127" t="str">
            <v>Totley Primary School</v>
          </cell>
        </row>
        <row r="128">
          <cell r="A128">
            <v>3732034</v>
          </cell>
          <cell r="B128" t="str">
            <v>Recoupment Academy</v>
          </cell>
          <cell r="C128">
            <v>0</v>
          </cell>
          <cell r="D128">
            <v>2034</v>
          </cell>
          <cell r="E128" t="str">
            <v>Valley Park Community School</v>
          </cell>
        </row>
        <row r="129">
          <cell r="A129">
            <v>3732351</v>
          </cell>
          <cell r="B129">
            <v>0</v>
          </cell>
          <cell r="C129">
            <v>0</v>
          </cell>
          <cell r="D129">
            <v>2351</v>
          </cell>
          <cell r="E129" t="str">
            <v>Walkley Primary School</v>
          </cell>
        </row>
        <row r="130">
          <cell r="A130">
            <v>3733432</v>
          </cell>
          <cell r="B130">
            <v>0</v>
          </cell>
          <cell r="C130">
            <v>0</v>
          </cell>
          <cell r="D130">
            <v>3432</v>
          </cell>
          <cell r="E130" t="str">
            <v>Watercliffe Meadow Community Primary School</v>
          </cell>
        </row>
        <row r="131">
          <cell r="A131">
            <v>3732319</v>
          </cell>
          <cell r="B131">
            <v>0</v>
          </cell>
          <cell r="C131">
            <v>0</v>
          </cell>
          <cell r="D131">
            <v>2319</v>
          </cell>
          <cell r="E131" t="str">
            <v>Waterthorpe Infant School</v>
          </cell>
        </row>
        <row r="132">
          <cell r="A132">
            <v>3732352</v>
          </cell>
          <cell r="B132">
            <v>0</v>
          </cell>
          <cell r="C132">
            <v>0</v>
          </cell>
          <cell r="D132">
            <v>2352</v>
          </cell>
          <cell r="E132" t="str">
            <v>Westways Primary School</v>
          </cell>
        </row>
        <row r="133">
          <cell r="A133">
            <v>3732311</v>
          </cell>
          <cell r="B133" t="str">
            <v>Recoupment Academy</v>
          </cell>
          <cell r="C133">
            <v>0</v>
          </cell>
          <cell r="D133">
            <v>2311</v>
          </cell>
          <cell r="E133" t="str">
            <v>Wharncliffe Side Primary School</v>
          </cell>
          <cell r="F133">
            <v>18</v>
          </cell>
          <cell r="I133">
            <v>18</v>
          </cell>
        </row>
        <row r="134">
          <cell r="A134">
            <v>3732040</v>
          </cell>
          <cell r="B134" t="str">
            <v>Recoupment Academy</v>
          </cell>
          <cell r="C134">
            <v>0</v>
          </cell>
          <cell r="D134">
            <v>2040</v>
          </cell>
          <cell r="E134" t="str">
            <v>Whiteways Primary School</v>
          </cell>
          <cell r="F134">
            <v>5</v>
          </cell>
          <cell r="I134">
            <v>5</v>
          </cell>
        </row>
        <row r="135">
          <cell r="A135">
            <v>3732027</v>
          </cell>
          <cell r="B135" t="str">
            <v>Recoupment Academy</v>
          </cell>
          <cell r="C135">
            <v>0</v>
          </cell>
          <cell r="D135">
            <v>2027</v>
          </cell>
          <cell r="E135" t="str">
            <v>Wincobank Nursery and Infant School</v>
          </cell>
        </row>
        <row r="136">
          <cell r="A136">
            <v>3732361</v>
          </cell>
          <cell r="B136" t="str">
            <v>Recoupment Academy</v>
          </cell>
          <cell r="C136">
            <v>0</v>
          </cell>
          <cell r="D136">
            <v>2361</v>
          </cell>
          <cell r="E136" t="str">
            <v>Windmill Hill Primary School</v>
          </cell>
        </row>
        <row r="137">
          <cell r="A137">
            <v>3732043</v>
          </cell>
          <cell r="B137" t="str">
            <v>Recoupment Academy</v>
          </cell>
          <cell r="C137">
            <v>0</v>
          </cell>
          <cell r="D137">
            <v>2043</v>
          </cell>
          <cell r="E137" t="str">
            <v>Wisewood Community Primary School</v>
          </cell>
        </row>
        <row r="138">
          <cell r="A138">
            <v>3732139</v>
          </cell>
          <cell r="B138" t="str">
            <v>Recoupment Academy</v>
          </cell>
          <cell r="C138">
            <v>0</v>
          </cell>
          <cell r="D138">
            <v>2139</v>
          </cell>
          <cell r="E138" t="str">
            <v>Woodhouse West Primary School</v>
          </cell>
        </row>
        <row r="139">
          <cell r="A139">
            <v>3732324</v>
          </cell>
          <cell r="B139" t="str">
            <v>Recoupment Academy</v>
          </cell>
          <cell r="C139">
            <v>0</v>
          </cell>
          <cell r="D139">
            <v>2324</v>
          </cell>
          <cell r="E139" t="str">
            <v>Woodseats Primary School</v>
          </cell>
        </row>
        <row r="140">
          <cell r="A140">
            <v>3732327</v>
          </cell>
          <cell r="B140">
            <v>0</v>
          </cell>
          <cell r="C140">
            <v>0</v>
          </cell>
          <cell r="D140">
            <v>2327</v>
          </cell>
          <cell r="E140" t="str">
            <v>Woodthorpe Primary School</v>
          </cell>
        </row>
        <row r="141">
          <cell r="A141">
            <v>3732321</v>
          </cell>
          <cell r="B141" t="str">
            <v>Recoupment Academy</v>
          </cell>
          <cell r="C141">
            <v>0</v>
          </cell>
          <cell r="D141">
            <v>2321</v>
          </cell>
          <cell r="E141" t="str">
            <v>Wybourn Community Primary &amp; Nursery School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Total Primary</v>
          </cell>
          <cell r="F143">
            <v>143</v>
          </cell>
          <cell r="G143">
            <v>0</v>
          </cell>
          <cell r="H143">
            <v>0</v>
          </cell>
          <cell r="I143">
            <v>143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Secondary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3735401</v>
          </cell>
          <cell r="B147" t="str">
            <v>Recoupment Academy</v>
          </cell>
          <cell r="C147">
            <v>0</v>
          </cell>
          <cell r="D147">
            <v>5401</v>
          </cell>
          <cell r="E147" t="str">
            <v>All Saints' Catholic High School</v>
          </cell>
          <cell r="G147">
            <v>2</v>
          </cell>
          <cell r="H147">
            <v>2</v>
          </cell>
          <cell r="I147">
            <v>4</v>
          </cell>
        </row>
        <row r="148">
          <cell r="A148">
            <v>3734017</v>
          </cell>
          <cell r="B148" t="str">
            <v>Recoupment Academy</v>
          </cell>
          <cell r="C148">
            <v>4272</v>
          </cell>
          <cell r="D148">
            <v>4017</v>
          </cell>
          <cell r="E148" t="str">
            <v>Bradfield School</v>
          </cell>
        </row>
        <row r="149">
          <cell r="A149">
            <v>3734000</v>
          </cell>
          <cell r="B149" t="str">
            <v>Recoupment Academy</v>
          </cell>
          <cell r="C149">
            <v>0</v>
          </cell>
          <cell r="D149">
            <v>4000</v>
          </cell>
          <cell r="E149" t="str">
            <v>Chaucer School</v>
          </cell>
        </row>
        <row r="150">
          <cell r="A150">
            <v>3734012</v>
          </cell>
          <cell r="B150" t="str">
            <v>Recoupment Academy</v>
          </cell>
          <cell r="C150">
            <v>4270</v>
          </cell>
          <cell r="D150">
            <v>4012</v>
          </cell>
          <cell r="E150" t="str">
            <v>Ecclesfield School</v>
          </cell>
        </row>
        <row r="151">
          <cell r="A151">
            <v>3734280</v>
          </cell>
          <cell r="B151" t="str">
            <v>Recoupment Academy</v>
          </cell>
          <cell r="C151">
            <v>0</v>
          </cell>
          <cell r="D151">
            <v>4280</v>
          </cell>
          <cell r="E151" t="str">
            <v>Fir Vale School</v>
          </cell>
        </row>
        <row r="152">
          <cell r="A152">
            <v>3734003</v>
          </cell>
          <cell r="B152" t="str">
            <v>Recoupment Academy</v>
          </cell>
          <cell r="C152">
            <v>0</v>
          </cell>
          <cell r="D152">
            <v>4003</v>
          </cell>
          <cell r="E152" t="str">
            <v>Firth Park Academy</v>
          </cell>
        </row>
        <row r="153">
          <cell r="A153">
            <v>3734007</v>
          </cell>
          <cell r="B153" t="str">
            <v>Recoupment Academy</v>
          </cell>
          <cell r="C153">
            <v>0</v>
          </cell>
          <cell r="D153">
            <v>4007</v>
          </cell>
          <cell r="E153" t="str">
            <v>Forge Valley School</v>
          </cell>
          <cell r="G153">
            <v>9</v>
          </cell>
          <cell r="H153">
            <v>5</v>
          </cell>
          <cell r="I153">
            <v>14</v>
          </cell>
        </row>
        <row r="154">
          <cell r="A154">
            <v>3734278</v>
          </cell>
          <cell r="B154" t="str">
            <v>Recoupment Academy</v>
          </cell>
          <cell r="C154">
            <v>0</v>
          </cell>
          <cell r="D154">
            <v>4278</v>
          </cell>
          <cell r="E154" t="str">
            <v>Handsworth Grange Community Sports College</v>
          </cell>
        </row>
        <row r="155">
          <cell r="A155">
            <v>3734257</v>
          </cell>
          <cell r="B155" t="str">
            <v>Recoupment Academy</v>
          </cell>
          <cell r="C155">
            <v>0</v>
          </cell>
          <cell r="D155">
            <v>4257</v>
          </cell>
          <cell r="E155" t="str">
            <v>High Storrs School</v>
          </cell>
        </row>
        <row r="156">
          <cell r="A156">
            <v>3734230</v>
          </cell>
          <cell r="B156" t="str">
            <v>Recoupment Academy</v>
          </cell>
          <cell r="C156">
            <v>0</v>
          </cell>
          <cell r="D156">
            <v>4230</v>
          </cell>
          <cell r="E156" t="str">
            <v>King Ecgbert School</v>
          </cell>
          <cell r="G156">
            <v>20</v>
          </cell>
          <cell r="H156">
            <v>9</v>
          </cell>
          <cell r="I156">
            <v>29</v>
          </cell>
        </row>
        <row r="157">
          <cell r="A157">
            <v>3734259</v>
          </cell>
          <cell r="B157">
            <v>0</v>
          </cell>
          <cell r="C157">
            <v>0</v>
          </cell>
          <cell r="D157">
            <v>4259</v>
          </cell>
          <cell r="E157" t="str">
            <v>King Edward VII School</v>
          </cell>
        </row>
        <row r="158">
          <cell r="A158">
            <v>3734279</v>
          </cell>
          <cell r="B158" t="str">
            <v>Recoupment Academy</v>
          </cell>
          <cell r="C158">
            <v>0</v>
          </cell>
          <cell r="D158">
            <v>4279</v>
          </cell>
          <cell r="E158" t="str">
            <v>Meadowhead School Academy Trust</v>
          </cell>
        </row>
        <row r="159">
          <cell r="A159">
            <v>3734015</v>
          </cell>
          <cell r="B159" t="str">
            <v>Recoupment Academy</v>
          </cell>
          <cell r="C159">
            <v>0</v>
          </cell>
          <cell r="D159">
            <v>4015</v>
          </cell>
          <cell r="E159" t="str">
            <v>Mercia School</v>
          </cell>
        </row>
        <row r="160">
          <cell r="A160">
            <v>3734008</v>
          </cell>
          <cell r="B160" t="str">
            <v>Recoupment Academy</v>
          </cell>
          <cell r="C160">
            <v>0</v>
          </cell>
          <cell r="D160">
            <v>4008</v>
          </cell>
          <cell r="E160" t="str">
            <v>Newfield Secondary School</v>
          </cell>
        </row>
        <row r="161">
          <cell r="A161">
            <v>3735400</v>
          </cell>
          <cell r="B161" t="str">
            <v>Recoupment Academy</v>
          </cell>
          <cell r="C161">
            <v>0</v>
          </cell>
          <cell r="D161">
            <v>5400</v>
          </cell>
          <cell r="E161" t="str">
            <v>Notre Dame High School</v>
          </cell>
        </row>
        <row r="162">
          <cell r="A162">
            <v>3734006</v>
          </cell>
          <cell r="B162" t="str">
            <v>Recoupment Academy</v>
          </cell>
          <cell r="C162">
            <v>0</v>
          </cell>
          <cell r="D162">
            <v>4006</v>
          </cell>
          <cell r="E162" t="str">
            <v>Outwood Academy City</v>
          </cell>
        </row>
        <row r="163">
          <cell r="A163">
            <v>3736907</v>
          </cell>
          <cell r="B163" t="str">
            <v>Recoupment Academy</v>
          </cell>
          <cell r="C163">
            <v>0</v>
          </cell>
          <cell r="D163">
            <v>6907</v>
          </cell>
          <cell r="E163" t="str">
            <v>Parkwood E-Act Academy</v>
          </cell>
        </row>
        <row r="164">
          <cell r="A164">
            <v>3736905</v>
          </cell>
          <cell r="B164" t="str">
            <v>Recoupment Academy</v>
          </cell>
          <cell r="C164">
            <v>0</v>
          </cell>
          <cell r="D164">
            <v>6905</v>
          </cell>
          <cell r="E164" t="str">
            <v>Sheffield Park Academy</v>
          </cell>
        </row>
        <row r="165">
          <cell r="A165">
            <v>3736906</v>
          </cell>
          <cell r="B165" t="str">
            <v>Recoupment Academy</v>
          </cell>
          <cell r="C165">
            <v>0</v>
          </cell>
          <cell r="D165">
            <v>6906</v>
          </cell>
          <cell r="E165" t="str">
            <v>Sheffield Springs Academy</v>
          </cell>
        </row>
        <row r="166">
          <cell r="A166">
            <v>3734229</v>
          </cell>
          <cell r="B166" t="str">
            <v>Recoupment Academy</v>
          </cell>
          <cell r="C166">
            <v>0</v>
          </cell>
          <cell r="D166">
            <v>4229</v>
          </cell>
          <cell r="E166" t="str">
            <v>Silverdale School</v>
          </cell>
        </row>
        <row r="167">
          <cell r="A167">
            <v>3734271</v>
          </cell>
          <cell r="B167" t="str">
            <v>Recoupment Academy</v>
          </cell>
          <cell r="C167">
            <v>0</v>
          </cell>
          <cell r="D167">
            <v>4271</v>
          </cell>
          <cell r="E167" t="str">
            <v>Stocksbridge High School</v>
          </cell>
        </row>
        <row r="168">
          <cell r="A168">
            <v>3734234</v>
          </cell>
          <cell r="B168" t="str">
            <v>Recoupment Academy</v>
          </cell>
          <cell r="C168">
            <v>0</v>
          </cell>
          <cell r="D168">
            <v>4234</v>
          </cell>
          <cell r="E168" t="str">
            <v>Tapton School</v>
          </cell>
        </row>
        <row r="169">
          <cell r="A169">
            <v>3734276</v>
          </cell>
          <cell r="B169" t="str">
            <v>Recoupment Academy</v>
          </cell>
          <cell r="C169">
            <v>0</v>
          </cell>
          <cell r="D169">
            <v>4276</v>
          </cell>
          <cell r="E169" t="str">
            <v>The Birley Academy</v>
          </cell>
          <cell r="G169">
            <v>11</v>
          </cell>
          <cell r="H169">
            <v>8</v>
          </cell>
          <cell r="I169">
            <v>19</v>
          </cell>
        </row>
        <row r="170">
          <cell r="A170">
            <v>3734004</v>
          </cell>
          <cell r="B170" t="str">
            <v>Recoupment Academy</v>
          </cell>
          <cell r="C170">
            <v>0</v>
          </cell>
          <cell r="D170">
            <v>4004</v>
          </cell>
          <cell r="E170" t="str">
            <v>Utc Sheffield City Centre</v>
          </cell>
        </row>
        <row r="171">
          <cell r="A171">
            <v>3734010</v>
          </cell>
          <cell r="B171" t="str">
            <v>Recoupment Academy</v>
          </cell>
          <cell r="C171">
            <v>0</v>
          </cell>
          <cell r="D171">
            <v>4010</v>
          </cell>
          <cell r="E171" t="str">
            <v>UTC Sheffield Olympic Legacy Park</v>
          </cell>
        </row>
        <row r="172">
          <cell r="A172">
            <v>3734013</v>
          </cell>
          <cell r="B172" t="str">
            <v>Recoupment Academy</v>
          </cell>
          <cell r="C172">
            <v>4252</v>
          </cell>
          <cell r="D172">
            <v>4013</v>
          </cell>
          <cell r="E172" t="str">
            <v>Westfield School</v>
          </cell>
        </row>
        <row r="173">
          <cell r="A173">
            <v>3734016</v>
          </cell>
          <cell r="B173" t="str">
            <v>Recoupment Academy</v>
          </cell>
          <cell r="C173">
            <v>4253</v>
          </cell>
          <cell r="D173">
            <v>4016</v>
          </cell>
          <cell r="E173" t="str">
            <v>Yewlands Academy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Total Secondary</v>
          </cell>
          <cell r="F175">
            <v>0</v>
          </cell>
          <cell r="G175">
            <v>42</v>
          </cell>
          <cell r="H175">
            <v>24</v>
          </cell>
          <cell r="I175">
            <v>66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Middle Deemed Secondary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>
            <v>3734014</v>
          </cell>
          <cell r="B179" t="str">
            <v>Recoupment Academy</v>
          </cell>
          <cell r="C179">
            <v>0</v>
          </cell>
          <cell r="D179">
            <v>4014</v>
          </cell>
          <cell r="E179" t="str">
            <v>Astrea Academy Sheffield</v>
          </cell>
        </row>
        <row r="180">
          <cell r="A180">
            <v>3734225</v>
          </cell>
          <cell r="B180" t="str">
            <v>Recoupment Academy</v>
          </cell>
          <cell r="C180">
            <v>0</v>
          </cell>
          <cell r="D180">
            <v>4225</v>
          </cell>
          <cell r="E180" t="str">
            <v>Hinde House 3-16 School</v>
          </cell>
        </row>
        <row r="181">
          <cell r="A181">
            <v>3734005</v>
          </cell>
          <cell r="B181" t="str">
            <v>Recoupment Academy</v>
          </cell>
          <cell r="C181">
            <v>0</v>
          </cell>
          <cell r="D181">
            <v>4005</v>
          </cell>
          <cell r="E181" t="str">
            <v>Oasis Academy Don Valley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 t="str">
            <v>Total Middle Deemed Secondary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>Total All Schools</v>
          </cell>
          <cell r="F185">
            <v>143</v>
          </cell>
          <cell r="G185">
            <v>42</v>
          </cell>
          <cell r="H185">
            <v>24</v>
          </cell>
          <cell r="I185">
            <v>209</v>
          </cell>
        </row>
      </sheetData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55072.303826148382</v>
          </cell>
        </row>
      </sheetData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U 22 23"/>
      <sheetName val="A4 Sheet"/>
      <sheetName val="Sheet1"/>
    </sheetNames>
    <sheetDataSet>
      <sheetData sheetId="0" refreshError="1"/>
      <sheetData sheetId="1">
        <row r="26">
          <cell r="F26">
            <v>23182.971545543569</v>
          </cell>
        </row>
      </sheetData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_2022_to_2023"/>
      <sheetName val="Allocations_summary"/>
      <sheetName val="Schools_block_and_CSSB"/>
      <sheetName val="High_needs_block"/>
      <sheetName val="High_needs_deductions"/>
      <sheetName val="Early_years_block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2">
          <cell r="E62">
            <v>884000</v>
          </cell>
          <cell r="H62">
            <v>132501</v>
          </cell>
        </row>
        <row r="181">
          <cell r="C181">
            <v>345000</v>
          </cell>
          <cell r="D181">
            <v>539000</v>
          </cell>
          <cell r="F181">
            <v>91666.666666666672</v>
          </cell>
          <cell r="G181">
            <v>40833.333333333336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G1718"/>
      <sheetName val="Schools Integra Code"/>
      <sheetName val="Sumbud22"/>
      <sheetName val="DSG2223"/>
      <sheetName val="Rates Final Summary"/>
      <sheetName val="Post16"/>
      <sheetName val="Special 2223"/>
      <sheetName val="IR 2223"/>
      <sheetName val="High_needs_deductions (2)"/>
      <sheetName val="High_needs_deductions"/>
      <sheetName val="IR Acad 2223"/>
      <sheetName val="De-deleg"/>
      <sheetName val="Becton Breakdown"/>
      <sheetName val="All Sch"/>
      <sheetName val="Maintained Sch"/>
      <sheetName val="Integra Upload"/>
      <sheetName val="Pivot Summary"/>
      <sheetName val="ISB PREFERRED CODING"/>
      <sheetName val="Academies"/>
      <sheetName val="Cash Profiles"/>
    </sheetNames>
    <sheetDataSet>
      <sheetData sheetId="0"/>
      <sheetData sheetId="1"/>
      <sheetData sheetId="2"/>
      <sheetData sheetId="3">
        <row r="11">
          <cell r="L11">
            <v>800000</v>
          </cell>
        </row>
        <row r="12">
          <cell r="L12">
            <v>149361.75557227526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IR Budget 2021 22 funding rate"/>
      <sheetName val="IR Budget 2021 22"/>
    </sheetNames>
    <sheetDataSet>
      <sheetData sheetId="0"/>
      <sheetData sheetId="1">
        <row r="4">
          <cell r="C4">
            <v>5401</v>
          </cell>
          <cell r="D4" t="str">
            <v>All  Saints Catholic</v>
          </cell>
          <cell r="E4">
            <v>11234.277704644057</v>
          </cell>
          <cell r="F4">
            <v>11614.277704644057</v>
          </cell>
        </row>
        <row r="5">
          <cell r="C5">
            <v>3429</v>
          </cell>
          <cell r="D5" t="str">
            <v xml:space="preserve">Arbourthorne Community Primary </v>
          </cell>
          <cell r="E5">
            <v>12864.468632838463</v>
          </cell>
          <cell r="F5">
            <v>13244.468632838463</v>
          </cell>
        </row>
        <row r="6">
          <cell r="C6">
            <v>2274</v>
          </cell>
          <cell r="D6" t="str">
            <v>Beck</v>
          </cell>
          <cell r="E6">
            <v>13505</v>
          </cell>
          <cell r="F6">
            <v>13885</v>
          </cell>
        </row>
        <row r="7">
          <cell r="C7">
            <v>4276</v>
          </cell>
          <cell r="D7" t="str">
            <v>The Birley Academy</v>
          </cell>
          <cell r="E7">
            <v>13687.989792167617</v>
          </cell>
          <cell r="F7">
            <v>14067.989792167617</v>
          </cell>
        </row>
        <row r="8">
          <cell r="C8">
            <v>2323</v>
          </cell>
          <cell r="D8" t="str">
            <v>Birley Spa Community Primary</v>
          </cell>
          <cell r="E8">
            <v>12647.443157500949</v>
          </cell>
          <cell r="F8">
            <v>13027.443157500949</v>
          </cell>
        </row>
        <row r="9">
          <cell r="C9">
            <v>4007</v>
          </cell>
          <cell r="D9" t="str">
            <v xml:space="preserve">Forge Valley Community </v>
          </cell>
          <cell r="E9">
            <v>13719.828710533764</v>
          </cell>
          <cell r="F9">
            <v>14099.828710533764</v>
          </cell>
        </row>
        <row r="10">
          <cell r="C10">
            <v>2010</v>
          </cell>
          <cell r="D10" t="str">
            <v>Fox Hill Primary</v>
          </cell>
          <cell r="E10">
            <v>13504.570293051907</v>
          </cell>
          <cell r="F10">
            <v>13884.570293051907</v>
          </cell>
        </row>
        <row r="11">
          <cell r="C11">
            <v>2337</v>
          </cell>
          <cell r="D11" t="str">
            <v>Hucklow</v>
          </cell>
          <cell r="E11">
            <v>13505</v>
          </cell>
          <cell r="F11">
            <v>13885</v>
          </cell>
        </row>
        <row r="12">
          <cell r="C12">
            <v>4230</v>
          </cell>
          <cell r="D12" t="str">
            <v>King Ecgbert School</v>
          </cell>
          <cell r="E12">
            <v>13698.945641099554</v>
          </cell>
          <cell r="F12">
            <v>14078.945641099554</v>
          </cell>
        </row>
        <row r="13">
          <cell r="C13">
            <v>2087</v>
          </cell>
          <cell r="D13" t="str">
            <v xml:space="preserve">Nether Green Junior </v>
          </cell>
          <cell r="E13">
            <v>12647.443157500948</v>
          </cell>
          <cell r="F13">
            <v>13027.443157500948</v>
          </cell>
        </row>
        <row r="14">
          <cell r="C14">
            <v>2309</v>
          </cell>
          <cell r="D14" t="str">
            <v xml:space="preserve">Nook Lane Junior </v>
          </cell>
          <cell r="E14">
            <v>12647.443157500949</v>
          </cell>
          <cell r="F14">
            <v>13027.443157500949</v>
          </cell>
        </row>
        <row r="15">
          <cell r="C15">
            <v>3414</v>
          </cell>
          <cell r="D15" t="str">
            <v>St. Thomas of Canterbury Catholic Primary</v>
          </cell>
          <cell r="E15">
            <v>12647.76</v>
          </cell>
          <cell r="F15">
            <v>13027.76</v>
          </cell>
        </row>
        <row r="16">
          <cell r="C16">
            <v>2350</v>
          </cell>
          <cell r="D16" t="str">
            <v>Stradbroke Primary School</v>
          </cell>
          <cell r="E16">
            <v>12647.443157500949</v>
          </cell>
          <cell r="F16">
            <v>13027.443157500949</v>
          </cell>
        </row>
        <row r="17">
          <cell r="C17">
            <v>2311</v>
          </cell>
          <cell r="D17" t="str">
            <v xml:space="preserve">Wharncliffe Side Primary </v>
          </cell>
          <cell r="E17">
            <v>13221.976762880062</v>
          </cell>
          <cell r="F17">
            <v>13601.976762880062</v>
          </cell>
        </row>
        <row r="18">
          <cell r="C18">
            <v>2040</v>
          </cell>
          <cell r="D18" t="str">
            <v>Whiteways</v>
          </cell>
          <cell r="E18">
            <v>13505</v>
          </cell>
          <cell r="F18">
            <v>13885</v>
          </cell>
        </row>
        <row r="19">
          <cell r="D19" t="str">
            <v xml:space="preserve">Total 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"/>
      <sheetName val="Localities"/>
      <sheetName val="Schools List"/>
      <sheetName val="NFF Rates"/>
      <sheetName val="Budget"/>
      <sheetName val="AWPU Fund"/>
      <sheetName val="Growth New Sch"/>
      <sheetName val="NFF21-22"/>
      <sheetName val="DataSource "/>
      <sheetName val="Pri Oct Fore"/>
      <sheetName val="DataSource Sep20"/>
      <sheetName val="Pupils"/>
      <sheetName val="19 20 "/>
      <sheetName val="New Del"/>
      <sheetName val="Add Deleg"/>
      <sheetName val="Impact"/>
      <sheetName val="AWPU"/>
      <sheetName val="FSM"/>
      <sheetName val="IDACI"/>
      <sheetName val="Attain"/>
      <sheetName val="EAL"/>
      <sheetName val="Mobility"/>
      <sheetName val="Split Site"/>
      <sheetName val="Floor"/>
      <sheetName val="A4 Floor"/>
      <sheetName val="MFG NFF"/>
      <sheetName val="DSG Adj Baseline 2021"/>
      <sheetName val="Min Fund"/>
      <sheetName val="MFG"/>
      <sheetName val="MFG-Gains A4"/>
      <sheetName val="Budget Share"/>
      <sheetName val="Schls Forum"/>
      <sheetName val="A4 Sheet"/>
      <sheetName val="pro-forma check"/>
      <sheetName val="Multiplier Summary"/>
      <sheetName val="£pup Analysis"/>
    </sheetNames>
    <sheetDataSet>
      <sheetData sheetId="0"/>
      <sheetData sheetId="1"/>
      <sheetData sheetId="2">
        <row r="1">
          <cell r="D1"/>
        </row>
      </sheetData>
      <sheetData sheetId="3"/>
      <sheetData sheetId="4">
        <row r="10">
          <cell r="E10">
            <v>4669.5544100523612</v>
          </cell>
        </row>
      </sheetData>
      <sheetData sheetId="5">
        <row r="15">
          <cell r="D15">
            <v>3412.8685792877927</v>
          </cell>
        </row>
      </sheetData>
      <sheetData sheetId="6"/>
      <sheetData sheetId="7">
        <row r="4">
          <cell r="D4">
            <v>14482</v>
          </cell>
        </row>
      </sheetData>
      <sheetData sheetId="8"/>
      <sheetData sheetId="9"/>
      <sheetData sheetId="10"/>
      <sheetData sheetId="11">
        <row r="1">
          <cell r="D1"/>
        </row>
      </sheetData>
      <sheetData sheetId="12"/>
      <sheetData sheetId="13"/>
      <sheetData sheetId="14">
        <row r="2">
          <cell r="C2">
            <v>1</v>
          </cell>
        </row>
      </sheetData>
      <sheetData sheetId="15"/>
      <sheetData sheetId="16">
        <row r="1">
          <cell r="F1" t="str">
            <v>Secondary AWPU Funding</v>
          </cell>
        </row>
      </sheetData>
      <sheetData sheetId="17">
        <row r="1">
          <cell r="E1" t="str">
            <v>FSM Funding</v>
          </cell>
        </row>
      </sheetData>
      <sheetData sheetId="18">
        <row r="1">
          <cell r="E1" t="str">
            <v>IDACI Funding</v>
          </cell>
        </row>
      </sheetData>
      <sheetData sheetId="19">
        <row r="1">
          <cell r="O1"/>
        </row>
      </sheetData>
      <sheetData sheetId="20">
        <row r="1">
          <cell r="D1" t="str">
            <v>EAL Funding</v>
          </cell>
        </row>
      </sheetData>
      <sheetData sheetId="21">
        <row r="1">
          <cell r="D1" t="str">
            <v>Mobility Funding</v>
          </cell>
        </row>
      </sheetData>
      <sheetData sheetId="22">
        <row r="1">
          <cell r="E1" t="str">
            <v>Split Site Funding</v>
          </cell>
        </row>
      </sheetData>
      <sheetData sheetId="23"/>
      <sheetData sheetId="24"/>
      <sheetData sheetId="25"/>
      <sheetData sheetId="26">
        <row r="2">
          <cell r="AF2" t="str">
            <v>Pri</v>
          </cell>
        </row>
      </sheetData>
      <sheetData sheetId="27"/>
      <sheetData sheetId="28">
        <row r="1">
          <cell r="K1" t="str">
            <v>Add rolled in grants £15m</v>
          </cell>
        </row>
      </sheetData>
      <sheetData sheetId="29"/>
      <sheetData sheetId="30">
        <row r="1">
          <cell r="D1" t="str">
            <v>Indicative School Budget Shares Modelling - 2021-22</v>
          </cell>
        </row>
        <row r="9">
          <cell r="D9">
            <v>2001</v>
          </cell>
          <cell r="E9" t="str">
            <v>Abbey Lane Primary School</v>
          </cell>
          <cell r="F9">
            <v>586</v>
          </cell>
          <cell r="G9">
            <v>1999940.9874626466</v>
          </cell>
          <cell r="H9">
            <v>24293.830019419333</v>
          </cell>
          <cell r="I9">
            <v>23928.183683729912</v>
          </cell>
          <cell r="J9">
            <v>37287.180165047794</v>
          </cell>
          <cell r="K9">
            <v>124543.54430379746</v>
          </cell>
          <cell r="L9">
            <v>9688.3767535070256</v>
          </cell>
          <cell r="M9">
            <v>2219682.1023881482</v>
          </cell>
          <cell r="N9">
            <v>120000</v>
          </cell>
          <cell r="O9">
            <v>0</v>
          </cell>
          <cell r="P9">
            <v>109797.89761185167</v>
          </cell>
          <cell r="Q9">
            <v>109797.89761185167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40716</v>
          </cell>
          <cell r="Y9">
            <v>2490196</v>
          </cell>
          <cell r="Z9">
            <v>0</v>
          </cell>
          <cell r="AC9">
            <v>-0.20000000018626451</v>
          </cell>
          <cell r="AE9">
            <v>2</v>
          </cell>
          <cell r="AF9">
            <v>2335765.7199999997</v>
          </cell>
          <cell r="AG9">
            <v>154430.28000000026</v>
          </cell>
          <cell r="AH9">
            <v>6.6115483534025105E-2</v>
          </cell>
          <cell r="AJ9">
            <v>3819.7188356164379</v>
          </cell>
          <cell r="AK9">
            <v>4249.4812286689421</v>
          </cell>
        </row>
        <row r="10">
          <cell r="D10">
            <v>2046</v>
          </cell>
          <cell r="E10" t="str">
            <v>Abbeyfield Primary Academy</v>
          </cell>
          <cell r="F10">
            <v>371</v>
          </cell>
          <cell r="G10">
            <v>1266174.2429157712</v>
          </cell>
          <cell r="H10">
            <v>54168.675043299729</v>
          </cell>
          <cell r="I10">
            <v>50164.150259644695</v>
          </cell>
          <cell r="J10">
            <v>100209.78008886999</v>
          </cell>
          <cell r="K10">
            <v>140678.48056537105</v>
          </cell>
          <cell r="L10">
            <v>73054.938271605002</v>
          </cell>
          <cell r="M10">
            <v>1684450.2671445617</v>
          </cell>
          <cell r="N10">
            <v>120000</v>
          </cell>
          <cell r="O10">
            <v>4265.9999999999891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6838</v>
          </cell>
          <cell r="Y10">
            <v>1815554.2671445617</v>
          </cell>
          <cell r="Z10">
            <v>0</v>
          </cell>
          <cell r="AC10">
            <v>0</v>
          </cell>
          <cell r="AE10">
            <v>-33</v>
          </cell>
          <cell r="AF10">
            <v>1889890.0936110797</v>
          </cell>
          <cell r="AG10">
            <v>-74335.826466517989</v>
          </cell>
          <cell r="AH10">
            <v>-3.9333412412613844E-2</v>
          </cell>
          <cell r="AJ10">
            <v>4498.065776265049</v>
          </cell>
          <cell r="AK10">
            <v>4893.6772699314333</v>
          </cell>
        </row>
        <row r="11">
          <cell r="D11">
            <v>2048</v>
          </cell>
          <cell r="E11" t="str">
            <v>Acres Hill Community Primary School</v>
          </cell>
          <cell r="F11">
            <v>202</v>
          </cell>
          <cell r="G11">
            <v>689399.4530161341</v>
          </cell>
          <cell r="H11">
            <v>27248.485021781082</v>
          </cell>
          <cell r="I11">
            <v>26440.330513082841</v>
          </cell>
          <cell r="J11">
            <v>58196.927432462617</v>
          </cell>
          <cell r="K11">
            <v>95543.609467455623</v>
          </cell>
          <cell r="L11">
            <v>32429.189189189205</v>
          </cell>
          <cell r="M11">
            <v>929257.9946401054</v>
          </cell>
          <cell r="N11">
            <v>120000</v>
          </cell>
          <cell r="O11">
            <v>7992.0000000000073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4840</v>
          </cell>
          <cell r="Y11">
            <v>1062089.9946401054</v>
          </cell>
          <cell r="Z11">
            <v>0</v>
          </cell>
          <cell r="AC11">
            <v>0</v>
          </cell>
          <cell r="AE11">
            <v>-24</v>
          </cell>
          <cell r="AF11">
            <v>1134815.2301386204</v>
          </cell>
          <cell r="AG11">
            <v>-72725.235498514958</v>
          </cell>
          <cell r="AH11">
            <v>-6.4085530020275991E-2</v>
          </cell>
          <cell r="AJ11">
            <v>4834.3856957461076</v>
          </cell>
          <cell r="AK11">
            <v>5257.8712605945811</v>
          </cell>
        </row>
        <row r="12">
          <cell r="D12">
            <v>2342</v>
          </cell>
          <cell r="E12" t="str">
            <v>Angram Bank Primary School</v>
          </cell>
          <cell r="F12">
            <v>198</v>
          </cell>
          <cell r="G12">
            <v>675747.97869898297</v>
          </cell>
          <cell r="H12">
            <v>21339.175017057452</v>
          </cell>
          <cell r="I12">
            <v>21733.53496205718</v>
          </cell>
          <cell r="J12">
            <v>41297.427606569741</v>
          </cell>
          <cell r="K12">
            <v>59720.119760479043</v>
          </cell>
          <cell r="L12">
            <v>1258.9595375722545</v>
          </cell>
          <cell r="M12">
            <v>821097.19558271859</v>
          </cell>
          <cell r="N12">
            <v>120000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23204</v>
          </cell>
          <cell r="Y12">
            <v>964301.19558271859</v>
          </cell>
          <cell r="Z12">
            <v>0</v>
          </cell>
          <cell r="AC12">
            <v>0</v>
          </cell>
          <cell r="AE12">
            <v>-14</v>
          </cell>
          <cell r="AF12">
            <v>992360.65880378569</v>
          </cell>
          <cell r="AG12">
            <v>-28059.463221067097</v>
          </cell>
          <cell r="AH12">
            <v>-2.8275469177597809E-2</v>
          </cell>
          <cell r="AJ12">
            <v>4501.0665037914423</v>
          </cell>
          <cell r="AK12">
            <v>4870.2080584985788</v>
          </cell>
        </row>
        <row r="13">
          <cell r="D13">
            <v>2343</v>
          </cell>
          <cell r="E13" t="str">
            <v>Anns Grove Primary School</v>
          </cell>
          <cell r="F13">
            <v>300</v>
          </cell>
          <cell r="G13">
            <v>1023860.5737863379</v>
          </cell>
          <cell r="H13">
            <v>34799.270027816761</v>
          </cell>
          <cell r="I13">
            <v>37287.927630980455</v>
          </cell>
          <cell r="J13">
            <v>80378.971139858812</v>
          </cell>
          <cell r="K13">
            <v>86447.368421052626</v>
          </cell>
          <cell r="L13">
            <v>31304.347826086996</v>
          </cell>
          <cell r="M13">
            <v>1294078.4588321333</v>
          </cell>
          <cell r="N13">
            <v>120000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41499</v>
          </cell>
          <cell r="Y13">
            <v>1455577.4588321333</v>
          </cell>
          <cell r="Z13">
            <v>0</v>
          </cell>
          <cell r="AC13">
            <v>0</v>
          </cell>
          <cell r="AE13">
            <v>-5</v>
          </cell>
          <cell r="AF13">
            <v>1421493.3364926078</v>
          </cell>
          <cell r="AG13">
            <v>34084.122339525493</v>
          </cell>
          <cell r="AH13">
            <v>2.3977687031319223E-2</v>
          </cell>
          <cell r="AJ13">
            <v>4465.5544147298615</v>
          </cell>
          <cell r="AK13">
            <v>4851.9248627737779</v>
          </cell>
        </row>
        <row r="14">
          <cell r="D14">
            <v>3429</v>
          </cell>
          <cell r="E14" t="str">
            <v>Arbourthorne Community Primary School</v>
          </cell>
          <cell r="F14">
            <v>398</v>
          </cell>
          <cell r="G14">
            <v>1358321.6945565415</v>
          </cell>
          <cell r="H14">
            <v>77149.325061669355</v>
          </cell>
          <cell r="I14">
            <v>74712.780843169196</v>
          </cell>
          <cell r="J14">
            <v>150455.82156205663</v>
          </cell>
          <cell r="K14">
            <v>226773.22674418605</v>
          </cell>
          <cell r="L14">
            <v>19841.812865497086</v>
          </cell>
          <cell r="M14">
            <v>1907254.6616331199</v>
          </cell>
          <cell r="N14">
            <v>120000</v>
          </cell>
          <cell r="O14">
            <v>107.99999999998496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53766</v>
          </cell>
          <cell r="Y14">
            <v>2081128.6616331199</v>
          </cell>
          <cell r="Z14">
            <v>0</v>
          </cell>
          <cell r="AC14">
            <v>0</v>
          </cell>
          <cell r="AE14">
            <v>-11</v>
          </cell>
          <cell r="AF14">
            <v>2080798.4838764367</v>
          </cell>
          <cell r="AG14">
            <v>330.17775668320246</v>
          </cell>
          <cell r="AH14">
            <v>1.5867839160863656E-4</v>
          </cell>
          <cell r="AJ14">
            <v>4907.6468554436105</v>
          </cell>
          <cell r="AK14">
            <v>5228.9664865153763</v>
          </cell>
        </row>
        <row r="15">
          <cell r="D15">
            <v>2340</v>
          </cell>
          <cell r="E15" t="str">
            <v>Athelstan Primary School</v>
          </cell>
          <cell r="F15">
            <v>609</v>
          </cell>
          <cell r="G15">
            <v>2078436.9647862657</v>
          </cell>
          <cell r="H15">
            <v>55153.560044086953</v>
          </cell>
          <cell r="I15">
            <v>53033.46517551149</v>
          </cell>
          <cell r="J15">
            <v>109769.40561967247</v>
          </cell>
          <cell r="K15">
            <v>211345.7775590551</v>
          </cell>
          <cell r="L15">
            <v>28072</v>
          </cell>
          <cell r="M15">
            <v>2535811.1731845913</v>
          </cell>
          <cell r="N15">
            <v>120000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33408</v>
          </cell>
          <cell r="Y15">
            <v>2689219.1731845913</v>
          </cell>
          <cell r="Z15">
            <v>0</v>
          </cell>
          <cell r="AC15">
            <v>0</v>
          </cell>
          <cell r="AE15">
            <v>-5</v>
          </cell>
          <cell r="AF15">
            <v>2613457.671623488</v>
          </cell>
          <cell r="AG15">
            <v>75761.501561103389</v>
          </cell>
          <cell r="AH15">
            <v>2.8988991244706139E-2</v>
          </cell>
          <cell r="AJ15">
            <v>4076.5657192564954</v>
          </cell>
          <cell r="AK15">
            <v>4415.7950298597561</v>
          </cell>
        </row>
        <row r="16">
          <cell r="D16">
            <v>2281</v>
          </cell>
          <cell r="E16" t="str">
            <v>Ballifield Primary School</v>
          </cell>
          <cell r="F16">
            <v>418</v>
          </cell>
          <cell r="G16">
            <v>1426579.0661422973</v>
          </cell>
          <cell r="H16">
            <v>17727.930014170764</v>
          </cell>
          <cell r="I16">
            <v>16300.151221542834</v>
          </cell>
          <cell r="J16">
            <v>33698.453428565263</v>
          </cell>
          <cell r="K16">
            <v>157257.90502793295</v>
          </cell>
          <cell r="L16">
            <v>3853.072625698313</v>
          </cell>
          <cell r="M16">
            <v>1655416.5784602074</v>
          </cell>
          <cell r="N16">
            <v>120000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28449</v>
          </cell>
          <cell r="Y16">
            <v>1803865.5784602074</v>
          </cell>
          <cell r="Z16">
            <v>0</v>
          </cell>
          <cell r="AC16">
            <v>0</v>
          </cell>
          <cell r="AE16">
            <v>-4</v>
          </cell>
          <cell r="AF16">
            <v>1759049.7506037231</v>
          </cell>
          <cell r="AG16">
            <v>44815.827856484335</v>
          </cell>
          <cell r="AH16">
            <v>2.5477294113542329E-2</v>
          </cell>
          <cell r="AJ16">
            <v>3988.4843379235144</v>
          </cell>
          <cell r="AK16">
            <v>4315.4678910531275</v>
          </cell>
        </row>
        <row r="17">
          <cell r="D17">
            <v>2322</v>
          </cell>
          <cell r="E17" t="str">
            <v>Bankwood Community Primary School</v>
          </cell>
          <cell r="F17">
            <v>345</v>
          </cell>
          <cell r="G17">
            <v>1177439.6598542884</v>
          </cell>
          <cell r="H17">
            <v>78790.800062981376</v>
          </cell>
          <cell r="I17">
            <v>77802.159133187975</v>
          </cell>
          <cell r="J17">
            <v>152110.96708276201</v>
          </cell>
          <cell r="K17">
            <v>153961.13207547172</v>
          </cell>
          <cell r="L17">
            <v>33057.491289198515</v>
          </cell>
          <cell r="M17">
            <v>1673162.20949789</v>
          </cell>
          <cell r="N17">
            <v>120000</v>
          </cell>
          <cell r="O17">
            <v>8369.9999999999909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1603.4022945490553</v>
          </cell>
          <cell r="U17">
            <v>1603.4022945490553</v>
          </cell>
          <cell r="V17">
            <v>0</v>
          </cell>
          <cell r="W17">
            <v>0</v>
          </cell>
          <cell r="X17">
            <v>24326</v>
          </cell>
          <cell r="Y17">
            <v>1827461.6117924391</v>
          </cell>
          <cell r="Z17">
            <v>0</v>
          </cell>
          <cell r="AC17">
            <v>2.6769470423460007E-5</v>
          </cell>
          <cell r="AE17">
            <v>4</v>
          </cell>
          <cell r="AF17">
            <v>1775326.9764741024</v>
          </cell>
          <cell r="AG17">
            <v>52134.635318336776</v>
          </cell>
          <cell r="AH17">
            <v>2.9366215919210018E-2</v>
          </cell>
          <cell r="AJ17">
            <v>5026.3574676659891</v>
          </cell>
          <cell r="AK17">
            <v>5296.9901791085194</v>
          </cell>
        </row>
        <row r="18">
          <cell r="D18">
            <v>2274</v>
          </cell>
          <cell r="E18" t="str">
            <v>Beck Primary School</v>
          </cell>
          <cell r="F18">
            <v>629</v>
          </cell>
          <cell r="G18">
            <v>2146694.3363720216</v>
          </cell>
          <cell r="H18">
            <v>98816.795078989191</v>
          </cell>
          <cell r="I18">
            <v>106799.94914948412</v>
          </cell>
          <cell r="J18">
            <v>238406.69674289881</v>
          </cell>
          <cell r="K18">
            <v>257955.76996197717</v>
          </cell>
          <cell r="L18">
            <v>33437.546468401488</v>
          </cell>
          <cell r="M18">
            <v>2882111.0937737725</v>
          </cell>
          <cell r="N18">
            <v>120000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8613</v>
          </cell>
          <cell r="Y18">
            <v>3010724.0937737725</v>
          </cell>
          <cell r="Z18">
            <v>0</v>
          </cell>
          <cell r="AC18">
            <v>0</v>
          </cell>
          <cell r="AE18">
            <v>-1</v>
          </cell>
          <cell r="AF18">
            <v>2924584.2450323841</v>
          </cell>
          <cell r="AG18">
            <v>86139.848741388414</v>
          </cell>
          <cell r="AH18">
            <v>2.945370744156306E-2</v>
          </cell>
          <cell r="AJ18">
            <v>4462.3172143371175</v>
          </cell>
          <cell r="AK18">
            <v>4786.5247913732474</v>
          </cell>
        </row>
        <row r="19">
          <cell r="D19">
            <v>2241</v>
          </cell>
          <cell r="E19" t="str">
            <v>Beighton Nursery Infant School</v>
          </cell>
          <cell r="F19">
            <v>255</v>
          </cell>
          <cell r="G19">
            <v>870281.48771838716</v>
          </cell>
          <cell r="H19">
            <v>12146.915009709614</v>
          </cell>
          <cell r="I19">
            <v>11168.622133279363</v>
          </cell>
          <cell r="J19">
            <v>16102.864364992627</v>
          </cell>
          <cell r="K19">
            <v>78319.207317073175</v>
          </cell>
          <cell r="L19">
            <v>2534.6385542168664</v>
          </cell>
          <cell r="M19">
            <v>990553.7350976587</v>
          </cell>
          <cell r="N19">
            <v>120000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19835</v>
          </cell>
          <cell r="Y19">
            <v>1130388.7350976588</v>
          </cell>
          <cell r="Z19">
            <v>0</v>
          </cell>
          <cell r="AC19">
            <v>0</v>
          </cell>
          <cell r="AE19">
            <v>-2</v>
          </cell>
          <cell r="AF19">
            <v>1076798.6764979411</v>
          </cell>
          <cell r="AG19">
            <v>53590.058599717682</v>
          </cell>
          <cell r="AH19">
            <v>4.9767946199569972E-2</v>
          </cell>
          <cell r="AJ19">
            <v>4009.9981186690316</v>
          </cell>
          <cell r="AK19">
            <v>4432.8970003829754</v>
          </cell>
        </row>
        <row r="20">
          <cell r="D20">
            <v>2353</v>
          </cell>
          <cell r="E20" t="str">
            <v>Birley Primary Academy</v>
          </cell>
          <cell r="F20">
            <v>538</v>
          </cell>
          <cell r="G20">
            <v>1836123.2956568324</v>
          </cell>
          <cell r="H20">
            <v>40708.580032540456</v>
          </cell>
          <cell r="I20">
            <v>39729.462497851848</v>
          </cell>
          <cell r="J20">
            <v>51363.651415905915</v>
          </cell>
          <cell r="K20">
            <v>166515.03211991437</v>
          </cell>
          <cell r="L20">
            <v>628.23779193206076</v>
          </cell>
          <cell r="M20">
            <v>2135068.2595149772</v>
          </cell>
          <cell r="N20">
            <v>120000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7016</v>
          </cell>
          <cell r="Y20">
            <v>2262084.2595149772</v>
          </cell>
          <cell r="Z20">
            <v>0</v>
          </cell>
          <cell r="AC20">
            <v>0</v>
          </cell>
          <cell r="AE20">
            <v>-25</v>
          </cell>
          <cell r="AF20">
            <v>2267834.9984944947</v>
          </cell>
          <cell r="AG20">
            <v>-5750.7389795174822</v>
          </cell>
          <cell r="AH20">
            <v>-2.535783680618351E-3</v>
          </cell>
          <cell r="AJ20">
            <v>3848.2461074502571</v>
          </cell>
          <cell r="AK20">
            <v>4204.6175827415937</v>
          </cell>
        </row>
        <row r="21">
          <cell r="D21">
            <v>2323</v>
          </cell>
          <cell r="E21" t="str">
            <v>Birley Spa Primary Academy</v>
          </cell>
          <cell r="F21">
            <v>359</v>
          </cell>
          <cell r="G21">
            <v>1225219.8199643176</v>
          </cell>
          <cell r="H21">
            <v>33814.38502702953</v>
          </cell>
          <cell r="I21">
            <v>34041.618897812077</v>
          </cell>
          <cell r="J21">
            <v>77579.145539413352</v>
          </cell>
          <cell r="K21">
            <v>128313.20474777448</v>
          </cell>
          <cell r="L21">
            <v>1839.5962732919249</v>
          </cell>
          <cell r="M21">
            <v>1500807.7704496388</v>
          </cell>
          <cell r="N21">
            <v>120000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9344</v>
          </cell>
          <cell r="Y21">
            <v>1630151.7704496388</v>
          </cell>
          <cell r="Z21">
            <v>0</v>
          </cell>
          <cell r="AC21">
            <v>0</v>
          </cell>
          <cell r="AE21">
            <v>-32</v>
          </cell>
          <cell r="AF21">
            <v>1699984.7394647885</v>
          </cell>
          <cell r="AG21">
            <v>-69832.969015149632</v>
          </cell>
          <cell r="AH21">
            <v>-4.1078585821385294E-2</v>
          </cell>
          <cell r="AJ21">
            <v>4167.9070574547013</v>
          </cell>
          <cell r="AK21">
            <v>4540.8127310574901</v>
          </cell>
        </row>
        <row r="22">
          <cell r="D22">
            <v>2328</v>
          </cell>
          <cell r="E22" t="str">
            <v>Bradfield Dungworth Primary School</v>
          </cell>
          <cell r="F22">
            <v>123</v>
          </cell>
          <cell r="G22">
            <v>419782.83525239851</v>
          </cell>
          <cell r="H22">
            <v>1969.7700015745377</v>
          </cell>
          <cell r="I22">
            <v>3582.5381096081096</v>
          </cell>
          <cell r="J22">
            <v>2273.8915097540021</v>
          </cell>
          <cell r="K22">
            <v>22216.082474226801</v>
          </cell>
          <cell r="L22">
            <v>0</v>
          </cell>
          <cell r="M22">
            <v>449825.11734756199</v>
          </cell>
          <cell r="N22">
            <v>120000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9767.2855532365811</v>
          </cell>
          <cell r="U22">
            <v>9767.2855532365811</v>
          </cell>
          <cell r="V22">
            <v>0</v>
          </cell>
          <cell r="W22">
            <v>0</v>
          </cell>
          <cell r="X22">
            <v>2994</v>
          </cell>
          <cell r="Y22">
            <v>582586.4029007986</v>
          </cell>
          <cell r="Z22">
            <v>0</v>
          </cell>
          <cell r="AC22">
            <v>3.2174400985240936E-5</v>
          </cell>
          <cell r="AE22">
            <v>12</v>
          </cell>
          <cell r="AF22">
            <v>529636.68597154762</v>
          </cell>
          <cell r="AG22">
            <v>52949.716929250979</v>
          </cell>
          <cell r="AH22">
            <v>9.99736580409301E-2</v>
          </cell>
          <cell r="AJ22">
            <v>4591.6216754193474</v>
          </cell>
          <cell r="AK22">
            <v>4736.4748203316958</v>
          </cell>
        </row>
        <row r="23">
          <cell r="D23">
            <v>2233</v>
          </cell>
          <cell r="E23" t="str">
            <v>Bradway Primary School</v>
          </cell>
          <cell r="F23">
            <v>417</v>
          </cell>
          <cell r="G23">
            <v>1423166.1975630096</v>
          </cell>
          <cell r="H23">
            <v>17727.930014170845</v>
          </cell>
          <cell r="I23">
            <v>18406.014573801964</v>
          </cell>
          <cell r="J23">
            <v>37256.242865595326</v>
          </cell>
          <cell r="K23">
            <v>103482.15297450424</v>
          </cell>
          <cell r="L23">
            <v>4497.0588235294117</v>
          </cell>
          <cell r="M23">
            <v>1604535.5968146115</v>
          </cell>
          <cell r="N23">
            <v>120000</v>
          </cell>
          <cell r="O23">
            <v>0</v>
          </cell>
          <cell r="P23">
            <v>18524.403185388528</v>
          </cell>
          <cell r="Q23">
            <v>18524.403185388528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24950</v>
          </cell>
          <cell r="Y23">
            <v>1768010</v>
          </cell>
          <cell r="Z23">
            <v>0</v>
          </cell>
          <cell r="AC23">
            <v>0</v>
          </cell>
          <cell r="AE23">
            <v>-5</v>
          </cell>
          <cell r="AF23">
            <v>1704489.8918322653</v>
          </cell>
          <cell r="AG23">
            <v>63520.108167734696</v>
          </cell>
          <cell r="AH23">
            <v>3.7266344888354175E-2</v>
          </cell>
          <cell r="AJ23">
            <v>3859.1955730622399</v>
          </cell>
          <cell r="AK23">
            <v>4239.8321342925656</v>
          </cell>
        </row>
        <row r="24">
          <cell r="D24">
            <v>2014</v>
          </cell>
          <cell r="E24" t="str">
            <v>Brightside Nursery and Infant School</v>
          </cell>
          <cell r="F24">
            <v>167</v>
          </cell>
          <cell r="G24">
            <v>569949.05274106143</v>
          </cell>
          <cell r="H24">
            <v>15758.160012596296</v>
          </cell>
          <cell r="I24">
            <v>14489.023308038131</v>
          </cell>
          <cell r="J24">
            <v>39282.635979729879</v>
          </cell>
          <cell r="K24">
            <v>63171.545454545441</v>
          </cell>
          <cell r="L24">
            <v>40184.375</v>
          </cell>
          <cell r="M24">
            <v>742834.79249597108</v>
          </cell>
          <cell r="N24">
            <v>120000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16841</v>
          </cell>
          <cell r="Y24">
            <v>879675.79249597108</v>
          </cell>
          <cell r="Z24">
            <v>0</v>
          </cell>
          <cell r="AC24">
            <v>0</v>
          </cell>
          <cell r="AE24">
            <v>-11</v>
          </cell>
          <cell r="AF24">
            <v>892084.28548725031</v>
          </cell>
          <cell r="AG24">
            <v>-12408.492991279229</v>
          </cell>
          <cell r="AH24">
            <v>-1.390955226220782E-2</v>
          </cell>
          <cell r="AJ24">
            <v>4808.4823420632038</v>
          </cell>
          <cell r="AK24">
            <v>5267.5197155447368</v>
          </cell>
        </row>
        <row r="25">
          <cell r="D25">
            <v>2246</v>
          </cell>
          <cell r="E25" t="str">
            <v>Brook House Junior School</v>
          </cell>
          <cell r="F25">
            <v>339</v>
          </cell>
          <cell r="G25">
            <v>1156962.4483785618</v>
          </cell>
          <cell r="H25">
            <v>9848.8500078726738</v>
          </cell>
          <cell r="I25">
            <v>14195.892778684745</v>
          </cell>
          <cell r="J25">
            <v>22050.560184723348</v>
          </cell>
          <cell r="K25">
            <v>93627.373887240348</v>
          </cell>
          <cell r="L25">
            <v>2199.9999999999955</v>
          </cell>
          <cell r="M25">
            <v>1298885.1252370831</v>
          </cell>
          <cell r="N25">
            <v>120000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22829</v>
          </cell>
          <cell r="Y25">
            <v>1441714.1252370831</v>
          </cell>
          <cell r="Z25">
            <v>0</v>
          </cell>
          <cell r="AC25">
            <v>0</v>
          </cell>
          <cell r="AE25">
            <v>-7</v>
          </cell>
          <cell r="AF25">
            <v>1405036.8892099469</v>
          </cell>
          <cell r="AG25">
            <v>36677.236027136212</v>
          </cell>
          <cell r="AH25">
            <v>2.6104108944612726E-2</v>
          </cell>
          <cell r="AJ25">
            <v>3880.9202578322165</v>
          </cell>
          <cell r="AK25">
            <v>4252.8440272480329</v>
          </cell>
        </row>
        <row r="26">
          <cell r="D26">
            <v>5204</v>
          </cell>
          <cell r="E26" t="str">
            <v>Broomhill Infant School</v>
          </cell>
          <cell r="F26">
            <v>117</v>
          </cell>
          <cell r="G26">
            <v>399305.62377667177</v>
          </cell>
          <cell r="H26">
            <v>3282.9500026242272</v>
          </cell>
          <cell r="I26">
            <v>3018.5465225079429</v>
          </cell>
          <cell r="J26">
            <v>7452.022005605374</v>
          </cell>
          <cell r="K26">
            <v>33912.794117647063</v>
          </cell>
          <cell r="L26">
            <v>20892.857142857163</v>
          </cell>
          <cell r="M26">
            <v>467864.79356791358</v>
          </cell>
          <cell r="N26">
            <v>120000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26358.587242798472</v>
          </cell>
          <cell r="U26">
            <v>26358.587242798472</v>
          </cell>
          <cell r="V26">
            <v>0</v>
          </cell>
          <cell r="W26">
            <v>0</v>
          </cell>
          <cell r="X26">
            <v>1522</v>
          </cell>
          <cell r="Y26">
            <v>615745.380810712</v>
          </cell>
          <cell r="Z26">
            <v>0</v>
          </cell>
          <cell r="AC26">
            <v>6.9805304519832134E-5</v>
          </cell>
          <cell r="AE26">
            <v>1</v>
          </cell>
          <cell r="AF26">
            <v>601913.42093216302</v>
          </cell>
          <cell r="AG26">
            <v>13831.95987854898</v>
          </cell>
          <cell r="AH26">
            <v>2.2979982498359797E-2</v>
          </cell>
          <cell r="AJ26">
            <v>4984.0430864841637</v>
          </cell>
          <cell r="AK26">
            <v>5262.7810325701885</v>
          </cell>
        </row>
        <row r="27">
          <cell r="D27">
            <v>2325</v>
          </cell>
          <cell r="E27" t="str">
            <v>Brunswick Community Primary School</v>
          </cell>
          <cell r="F27">
            <v>407</v>
          </cell>
          <cell r="G27">
            <v>1389037.5117701315</v>
          </cell>
          <cell r="H27">
            <v>41693.465033327666</v>
          </cell>
          <cell r="I27">
            <v>40067.766693971127</v>
          </cell>
          <cell r="J27">
            <v>76159.896927032911</v>
          </cell>
          <cell r="K27">
            <v>161225.86764705883</v>
          </cell>
          <cell r="L27">
            <v>5145.9770114942439</v>
          </cell>
          <cell r="M27">
            <v>1713330.4850830163</v>
          </cell>
          <cell r="N27">
            <v>120000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35757</v>
          </cell>
          <cell r="Y27">
            <v>1869087.4850830163</v>
          </cell>
          <cell r="Z27">
            <v>0</v>
          </cell>
          <cell r="AC27">
            <v>0</v>
          </cell>
          <cell r="AE27">
            <v>-10</v>
          </cell>
          <cell r="AF27">
            <v>1807592.9597865222</v>
          </cell>
          <cell r="AG27">
            <v>61494.525296494132</v>
          </cell>
          <cell r="AH27">
            <v>3.4020117728139787E-2</v>
          </cell>
          <cell r="AJ27">
            <v>4154.875299248255</v>
          </cell>
          <cell r="AK27">
            <v>4592.352543201514</v>
          </cell>
        </row>
        <row r="28">
          <cell r="D28">
            <v>2095</v>
          </cell>
          <cell r="E28" t="str">
            <v>Byron Wood Primary Academy</v>
          </cell>
          <cell r="F28">
            <v>409</v>
          </cell>
          <cell r="G28">
            <v>1395863.2489287073</v>
          </cell>
          <cell r="H28">
            <v>58436.510046711199</v>
          </cell>
          <cell r="I28">
            <v>59175.997313389882</v>
          </cell>
          <cell r="J28">
            <v>133815.42161907771</v>
          </cell>
          <cell r="K28">
            <v>154918.39622641506</v>
          </cell>
          <cell r="L28">
            <v>99741.981132075394</v>
          </cell>
          <cell r="M28">
            <v>1901951.5552663764</v>
          </cell>
          <cell r="N28">
            <v>120000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5846</v>
          </cell>
          <cell r="Y28">
            <v>2027797.5552663764</v>
          </cell>
          <cell r="Z28">
            <v>0</v>
          </cell>
          <cell r="AC28">
            <v>0</v>
          </cell>
          <cell r="AE28">
            <v>11</v>
          </cell>
          <cell r="AF28">
            <v>1934376.0124834985</v>
          </cell>
          <cell r="AG28">
            <v>93421.542782877805</v>
          </cell>
          <cell r="AH28">
            <v>4.8295441103478193E-2</v>
          </cell>
          <cell r="AJ28">
            <v>4680.3612373957249</v>
          </cell>
          <cell r="AK28">
            <v>4957.9402329251252</v>
          </cell>
        </row>
        <row r="29">
          <cell r="D29">
            <v>2344</v>
          </cell>
          <cell r="E29" t="str">
            <v>Carfield Primary School</v>
          </cell>
          <cell r="F29">
            <v>552</v>
          </cell>
          <cell r="G29">
            <v>1883903.4557668616</v>
          </cell>
          <cell r="H29">
            <v>38738.810030965869</v>
          </cell>
          <cell r="I29">
            <v>38868.835583136621</v>
          </cell>
          <cell r="J29">
            <v>83039.578892768259</v>
          </cell>
          <cell r="K29">
            <v>140865.25423728811</v>
          </cell>
          <cell r="L29">
            <v>14302.355460385428</v>
          </cell>
          <cell r="M29">
            <v>2199718.2899714056</v>
          </cell>
          <cell r="N29">
            <v>120000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32103</v>
          </cell>
          <cell r="Y29">
            <v>2351821.2899714056</v>
          </cell>
          <cell r="Z29">
            <v>0</v>
          </cell>
          <cell r="AC29">
            <v>0</v>
          </cell>
          <cell r="AE29">
            <v>8</v>
          </cell>
          <cell r="AF29">
            <v>2215409.2173251887</v>
          </cell>
          <cell r="AG29">
            <v>136412.07264621696</v>
          </cell>
          <cell r="AH29">
            <v>6.1574210118578609E-2</v>
          </cell>
          <cell r="AJ29">
            <v>3892.5634142007143</v>
          </cell>
          <cell r="AK29">
            <v>4260.5458151655903</v>
          </cell>
        </row>
        <row r="30">
          <cell r="D30">
            <v>2023</v>
          </cell>
          <cell r="E30" t="str">
            <v>Carter Knowle Junior School</v>
          </cell>
          <cell r="F30">
            <v>225</v>
          </cell>
          <cell r="G30">
            <v>767895.43033975339</v>
          </cell>
          <cell r="H30">
            <v>9520.5550076102645</v>
          </cell>
          <cell r="I30">
            <v>11319.549459404781</v>
          </cell>
          <cell r="J30">
            <v>2687.6778899303272</v>
          </cell>
          <cell r="K30">
            <v>46983.139534883718</v>
          </cell>
          <cell r="L30">
            <v>5549.3273542600946</v>
          </cell>
          <cell r="M30">
            <v>843955.67958584253</v>
          </cell>
          <cell r="N30">
            <v>120000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16467</v>
          </cell>
          <cell r="Y30">
            <v>980422.67958584253</v>
          </cell>
          <cell r="Z30">
            <v>0</v>
          </cell>
          <cell r="AC30">
            <v>0</v>
          </cell>
          <cell r="AE30">
            <v>10</v>
          </cell>
          <cell r="AF30">
            <v>906656.35956923699</v>
          </cell>
          <cell r="AG30">
            <v>73766.320016605547</v>
          </cell>
          <cell r="AH30">
            <v>8.1360836702951911E-2</v>
          </cell>
          <cell r="AJ30">
            <v>4037.1263235778465</v>
          </cell>
          <cell r="AK30">
            <v>4357.4341314926332</v>
          </cell>
        </row>
        <row r="31">
          <cell r="D31">
            <v>2354</v>
          </cell>
          <cell r="E31" t="str">
            <v>Charnock Hall Primary Academy</v>
          </cell>
          <cell r="F31">
            <v>388</v>
          </cell>
          <cell r="G31">
            <v>1324193.0087636635</v>
          </cell>
          <cell r="H31">
            <v>22652.355018107191</v>
          </cell>
          <cell r="I31">
            <v>20860.998359113411</v>
          </cell>
          <cell r="J31">
            <v>40566.533907005949</v>
          </cell>
          <cell r="K31">
            <v>119608.68035190618</v>
          </cell>
          <cell r="L31">
            <v>1882.941176470589</v>
          </cell>
          <cell r="M31">
            <v>1529764.517576267</v>
          </cell>
          <cell r="N31">
            <v>120000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4765</v>
          </cell>
          <cell r="Y31">
            <v>1654529.517576267</v>
          </cell>
          <cell r="Z31">
            <v>0</v>
          </cell>
          <cell r="AC31">
            <v>0</v>
          </cell>
          <cell r="AE31">
            <v>-10</v>
          </cell>
          <cell r="AF31">
            <v>1618564.2140403141</v>
          </cell>
          <cell r="AG31">
            <v>35965.303535952931</v>
          </cell>
          <cell r="AH31">
            <v>2.2220498404678761E-2</v>
          </cell>
          <cell r="AJ31">
            <v>3886.8642563826988</v>
          </cell>
          <cell r="AK31">
            <v>4264.2513339594507</v>
          </cell>
        </row>
        <row r="32">
          <cell r="D32">
            <v>5200</v>
          </cell>
          <cell r="E32" t="str">
            <v>Clifford All Saints CofE Primary School</v>
          </cell>
          <cell r="F32">
            <v>168</v>
          </cell>
          <cell r="G32">
            <v>573361.92132034921</v>
          </cell>
          <cell r="H32">
            <v>5252.7200041987599</v>
          </cell>
          <cell r="I32">
            <v>7294.131596854807</v>
          </cell>
          <cell r="J32">
            <v>10383.331128723639</v>
          </cell>
          <cell r="K32">
            <v>27872.727272727276</v>
          </cell>
          <cell r="L32">
            <v>4653.2374100719398</v>
          </cell>
          <cell r="M32">
            <v>628818.06873292557</v>
          </cell>
          <cell r="N32">
            <v>120000</v>
          </cell>
          <cell r="O32">
            <v>828.00000000000296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16694.341687293829</v>
          </cell>
          <cell r="U32">
            <v>16694.341687293829</v>
          </cell>
          <cell r="V32">
            <v>0</v>
          </cell>
          <cell r="W32">
            <v>54053.805419999997</v>
          </cell>
          <cell r="X32">
            <v>6163</v>
          </cell>
          <cell r="Y32">
            <v>826557.21584021929</v>
          </cell>
          <cell r="Z32">
            <v>0</v>
          </cell>
          <cell r="AC32">
            <v>-1.0745134204626083E-7</v>
          </cell>
          <cell r="AE32">
            <v>25</v>
          </cell>
          <cell r="AF32">
            <v>710642.30010010744</v>
          </cell>
          <cell r="AG32">
            <v>115914.91574011184</v>
          </cell>
          <cell r="AH32">
            <v>0.16311288495461504</v>
          </cell>
          <cell r="AJ32">
            <v>4772.9596209797728</v>
          </cell>
          <cell r="AK32">
            <v>4919.9834276203528</v>
          </cell>
        </row>
        <row r="33">
          <cell r="D33">
            <v>2312</v>
          </cell>
          <cell r="E33" t="str">
            <v>Coit Primary School</v>
          </cell>
          <cell r="F33">
            <v>202</v>
          </cell>
          <cell r="G33">
            <v>689399.4530161341</v>
          </cell>
          <cell r="H33">
            <v>8207.37500656058</v>
          </cell>
          <cell r="I33">
            <v>7546.3663062698679</v>
          </cell>
          <cell r="J33">
            <v>12239.569095869769</v>
          </cell>
          <cell r="K33">
            <v>35799.537572254339</v>
          </cell>
          <cell r="L33">
            <v>1893.749999999995</v>
          </cell>
          <cell r="M33">
            <v>755086.05099708866</v>
          </cell>
          <cell r="N33">
            <v>120000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16467</v>
          </cell>
          <cell r="Y33">
            <v>891553.05099708866</v>
          </cell>
          <cell r="Z33">
            <v>0</v>
          </cell>
          <cell r="AC33">
            <v>0</v>
          </cell>
          <cell r="AE33">
            <v>-4</v>
          </cell>
          <cell r="AF33">
            <v>871223.88145385927</v>
          </cell>
          <cell r="AG33">
            <v>20329.169543229393</v>
          </cell>
          <cell r="AH33">
            <v>2.333403614844096E-2</v>
          </cell>
          <cell r="AJ33">
            <v>4049.3621429798991</v>
          </cell>
          <cell r="AK33">
            <v>4413.6289653321219</v>
          </cell>
        </row>
        <row r="34">
          <cell r="D34">
            <v>2026</v>
          </cell>
          <cell r="E34" t="str">
            <v>Concord Junior School</v>
          </cell>
          <cell r="F34">
            <v>209</v>
          </cell>
          <cell r="G34">
            <v>713289.53307114867</v>
          </cell>
          <cell r="H34">
            <v>31516.320025192581</v>
          </cell>
          <cell r="I34">
            <v>32150.422913288912</v>
          </cell>
          <cell r="J34">
            <v>50354.322021270207</v>
          </cell>
          <cell r="K34">
            <v>98265.423728813563</v>
          </cell>
          <cell r="L34">
            <v>17600.000000000004</v>
          </cell>
          <cell r="M34">
            <v>943176.02175971388</v>
          </cell>
          <cell r="N34">
            <v>120000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3568</v>
          </cell>
          <cell r="Y34">
            <v>1066744.021759714</v>
          </cell>
          <cell r="Z34">
            <v>0</v>
          </cell>
          <cell r="AC34">
            <v>0</v>
          </cell>
          <cell r="AE34">
            <v>-4</v>
          </cell>
          <cell r="AF34">
            <v>1058820.4248128026</v>
          </cell>
          <cell r="AG34">
            <v>7923.5969469114207</v>
          </cell>
          <cell r="AH34">
            <v>7.4834190588194379E-3</v>
          </cell>
          <cell r="AJ34">
            <v>4791.1079099192611</v>
          </cell>
          <cell r="AK34">
            <v>5104.0383816254262</v>
          </cell>
        </row>
        <row r="35">
          <cell r="D35">
            <v>3422</v>
          </cell>
          <cell r="E35" t="str">
            <v>Deepcar St John's Church of England Junior School</v>
          </cell>
          <cell r="F35">
            <v>157</v>
          </cell>
          <cell r="G35">
            <v>535820.36694818351</v>
          </cell>
          <cell r="H35">
            <v>10833.735008659958</v>
          </cell>
          <cell r="I35">
            <v>15266.957445382448</v>
          </cell>
          <cell r="J35">
            <v>12603.082364435877</v>
          </cell>
          <cell r="K35">
            <v>43536.915584415576</v>
          </cell>
          <cell r="L35">
            <v>550.00000000000023</v>
          </cell>
          <cell r="M35">
            <v>618611.05735107744</v>
          </cell>
          <cell r="N35">
            <v>120000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3194</v>
          </cell>
          <cell r="Y35">
            <v>741805.05735107744</v>
          </cell>
          <cell r="Z35">
            <v>0</v>
          </cell>
          <cell r="AC35">
            <v>0</v>
          </cell>
          <cell r="AE35">
            <v>10</v>
          </cell>
          <cell r="AF35">
            <v>684855.25341082457</v>
          </cell>
          <cell r="AG35">
            <v>56949.803940252867</v>
          </cell>
          <cell r="AH35">
            <v>8.3155971508756685E-2</v>
          </cell>
          <cell r="AJ35">
            <v>4442.3818987130926</v>
          </cell>
          <cell r="AK35">
            <v>4724.8729767584555</v>
          </cell>
        </row>
        <row r="36">
          <cell r="D36">
            <v>2283</v>
          </cell>
          <cell r="E36" t="str">
            <v>Dobcroft Infant School</v>
          </cell>
          <cell r="F36">
            <v>270</v>
          </cell>
          <cell r="G36">
            <v>921474.51640770398</v>
          </cell>
          <cell r="H36">
            <v>1969.7700015745336</v>
          </cell>
          <cell r="I36">
            <v>1824.6437934562932</v>
          </cell>
          <cell r="J36">
            <v>699.9564001113514</v>
          </cell>
          <cell r="K36">
            <v>42704.999999999993</v>
          </cell>
          <cell r="L36">
            <v>34649.999999999949</v>
          </cell>
          <cell r="M36">
            <v>1003323.8866028461</v>
          </cell>
          <cell r="N36">
            <v>120000</v>
          </cell>
          <cell r="O36">
            <v>0</v>
          </cell>
          <cell r="P36">
            <v>5276.1133971538402</v>
          </cell>
          <cell r="Q36">
            <v>5276.1133971538402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15413</v>
          </cell>
          <cell r="Y36">
            <v>1144013.0000000002</v>
          </cell>
          <cell r="Z36">
            <v>0</v>
          </cell>
          <cell r="AC36">
            <v>0</v>
          </cell>
          <cell r="AE36">
            <v>1</v>
          </cell>
          <cell r="AF36">
            <v>1088633.4806601533</v>
          </cell>
          <cell r="AG36">
            <v>55379.519339846913</v>
          </cell>
          <cell r="AH36">
            <v>5.0870674403899897E-2</v>
          </cell>
          <cell r="AJ36">
            <v>3867.0846121195286</v>
          </cell>
          <cell r="AK36">
            <v>4237.0851851851858</v>
          </cell>
        </row>
        <row r="37">
          <cell r="D37">
            <v>2239</v>
          </cell>
          <cell r="E37" t="str">
            <v>Dobcroft Junior School</v>
          </cell>
          <cell r="F37">
            <v>416</v>
          </cell>
          <cell r="G37">
            <v>1419753.3289837218</v>
          </cell>
          <cell r="H37">
            <v>4924.4250039363378</v>
          </cell>
          <cell r="I37">
            <v>5512.896673302309</v>
          </cell>
          <cell r="J37">
            <v>2645.1391031832295</v>
          </cell>
          <cell r="K37">
            <v>51866.138613861389</v>
          </cell>
          <cell r="L37">
            <v>9349.9999999999964</v>
          </cell>
          <cell r="M37">
            <v>1494051.928378005</v>
          </cell>
          <cell r="N37">
            <v>120000</v>
          </cell>
          <cell r="O37">
            <v>0</v>
          </cell>
          <cell r="P37">
            <v>124828.07162199526</v>
          </cell>
          <cell r="Q37">
            <v>124828.07162199526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21285</v>
          </cell>
          <cell r="Y37">
            <v>1760165.0000000007</v>
          </cell>
          <cell r="Z37">
            <v>0</v>
          </cell>
          <cell r="AC37">
            <v>0</v>
          </cell>
          <cell r="AE37">
            <v>9</v>
          </cell>
          <cell r="AF37">
            <v>1623210.1600000004</v>
          </cell>
          <cell r="AG37">
            <v>136954.84000000032</v>
          </cell>
          <cell r="AH37">
            <v>8.4372833151808435E-2</v>
          </cell>
          <cell r="AJ37">
            <v>3808.3513513513526</v>
          </cell>
          <cell r="AK37">
            <v>4231.1658653846171</v>
          </cell>
        </row>
        <row r="38">
          <cell r="D38">
            <v>2364</v>
          </cell>
          <cell r="E38" t="str">
            <v>Dore Primary School</v>
          </cell>
          <cell r="F38">
            <v>425</v>
          </cell>
          <cell r="G38">
            <v>1450469.1461973118</v>
          </cell>
          <cell r="H38">
            <v>7222.4900057732912</v>
          </cell>
          <cell r="I38">
            <v>7731.656550397016</v>
          </cell>
          <cell r="J38">
            <v>0</v>
          </cell>
          <cell r="K38">
            <v>94106.301939058176</v>
          </cell>
          <cell r="L38">
            <v>7063.8736263736209</v>
          </cell>
          <cell r="M38">
            <v>1566593.4683189138</v>
          </cell>
          <cell r="N38">
            <v>120000</v>
          </cell>
          <cell r="O38">
            <v>0</v>
          </cell>
          <cell r="P38">
            <v>89906.531681086228</v>
          </cell>
          <cell r="Q38">
            <v>89906.531681086228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30798</v>
          </cell>
          <cell r="Y38">
            <v>1807298.0000000005</v>
          </cell>
          <cell r="Z38">
            <v>0</v>
          </cell>
          <cell r="AC38">
            <v>0</v>
          </cell>
          <cell r="AE38">
            <v>-22</v>
          </cell>
          <cell r="AF38">
            <v>1787454.3599999996</v>
          </cell>
          <cell r="AG38">
            <v>19843.640000000829</v>
          </cell>
          <cell r="AH38">
            <v>1.1101620519139203E-2</v>
          </cell>
          <cell r="AJ38">
            <v>3818.8993288590596</v>
          </cell>
          <cell r="AK38">
            <v>4252.4658823529426</v>
          </cell>
        </row>
        <row r="39">
          <cell r="D39">
            <v>2016</v>
          </cell>
          <cell r="E39" t="str">
            <v>E-Act Pathways Academy</v>
          </cell>
          <cell r="F39">
            <v>353</v>
          </cell>
          <cell r="G39">
            <v>1204742.6084885909</v>
          </cell>
          <cell r="H39">
            <v>62047.755049597843</v>
          </cell>
          <cell r="I39">
            <v>61924.454655198257</v>
          </cell>
          <cell r="J39">
            <v>130373.64705499435</v>
          </cell>
          <cell r="K39">
            <v>137950.65371024734</v>
          </cell>
          <cell r="L39">
            <v>21849.678456591639</v>
          </cell>
          <cell r="M39">
            <v>1618888.7974152202</v>
          </cell>
          <cell r="N39">
            <v>120000</v>
          </cell>
          <cell r="O39">
            <v>3438.0000000000009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10105.499541694149</v>
          </cell>
          <cell r="U39">
            <v>10105.499541694149</v>
          </cell>
          <cell r="V39">
            <v>0</v>
          </cell>
          <cell r="W39">
            <v>0</v>
          </cell>
          <cell r="X39">
            <v>6287</v>
          </cell>
          <cell r="Y39">
            <v>1758719.2969569147</v>
          </cell>
          <cell r="Z39">
            <v>0</v>
          </cell>
          <cell r="AC39">
            <v>1.386227086186409E-5</v>
          </cell>
          <cell r="AE39">
            <v>-33</v>
          </cell>
          <cell r="AF39">
            <v>1876325.5119851856</v>
          </cell>
          <cell r="AG39">
            <v>-117606.21502827085</v>
          </cell>
          <cell r="AH39">
            <v>-6.2679004403581012E-2</v>
          </cell>
          <cell r="AJ39">
            <v>4654.3861968528126</v>
          </cell>
          <cell r="AK39">
            <v>4982.2076401045742</v>
          </cell>
        </row>
        <row r="40">
          <cell r="D40">
            <v>2206</v>
          </cell>
          <cell r="E40" t="str">
            <v>Ecclesall Primary School</v>
          </cell>
          <cell r="F40">
            <v>597</v>
          </cell>
          <cell r="G40">
            <v>2037482.5418348121</v>
          </cell>
          <cell r="H40">
            <v>8207.37500656056</v>
          </cell>
          <cell r="I40">
            <v>7848.2209585206483</v>
          </cell>
          <cell r="J40">
            <v>4010.2474415219394</v>
          </cell>
          <cell r="K40">
            <v>84566.827515400422</v>
          </cell>
          <cell r="L40">
            <v>10444.532803180899</v>
          </cell>
          <cell r="M40">
            <v>2152559.7455599965</v>
          </cell>
          <cell r="N40">
            <v>120000</v>
          </cell>
          <cell r="O40">
            <v>0</v>
          </cell>
          <cell r="P40">
            <v>222900.25444000316</v>
          </cell>
          <cell r="Q40">
            <v>222900.25444000316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62118</v>
          </cell>
          <cell r="Y40">
            <v>2557577.9999999995</v>
          </cell>
          <cell r="Z40">
            <v>0</v>
          </cell>
          <cell r="AC40">
            <v>0</v>
          </cell>
          <cell r="AE40">
            <v>6</v>
          </cell>
          <cell r="AF40">
            <v>2440843.08</v>
          </cell>
          <cell r="AG40">
            <v>116734.91999999946</v>
          </cell>
          <cell r="AH40">
            <v>4.7825655387891408E-2</v>
          </cell>
          <cell r="AJ40">
            <v>3950.1421319796955</v>
          </cell>
          <cell r="AK40">
            <v>4284.0502512562807</v>
          </cell>
        </row>
        <row r="41">
          <cell r="D41">
            <v>2080</v>
          </cell>
          <cell r="E41" t="str">
            <v>Ecclesfield Primary School</v>
          </cell>
          <cell r="F41">
            <v>403</v>
          </cell>
          <cell r="G41">
            <v>1375386.0374529804</v>
          </cell>
          <cell r="H41">
            <v>30859.730024667784</v>
          </cell>
          <cell r="I41">
            <v>29893.892726433274</v>
          </cell>
          <cell r="J41">
            <v>73073.468415335577</v>
          </cell>
          <cell r="K41">
            <v>110958.94508670521</v>
          </cell>
          <cell r="L41">
            <v>5651.1331444759217</v>
          </cell>
          <cell r="M41">
            <v>1625823.2068505981</v>
          </cell>
          <cell r="N41">
            <v>120000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22330</v>
          </cell>
          <cell r="Y41">
            <v>1768153.2068505981</v>
          </cell>
          <cell r="Z41">
            <v>0</v>
          </cell>
          <cell r="AC41">
            <v>0</v>
          </cell>
          <cell r="AE41">
            <v>-9</v>
          </cell>
          <cell r="AF41">
            <v>1734363.7867750379</v>
          </cell>
          <cell r="AG41">
            <v>33789.420075560221</v>
          </cell>
          <cell r="AH41">
            <v>1.9482314110345872E-2</v>
          </cell>
          <cell r="AJ41">
            <v>4029.7408416869848</v>
          </cell>
          <cell r="AK41">
            <v>4387.476940075926</v>
          </cell>
        </row>
        <row r="42">
          <cell r="D42">
            <v>2024</v>
          </cell>
          <cell r="E42" t="str">
            <v>Emmanuel Anglican/Methodist Junior School</v>
          </cell>
          <cell r="F42">
            <v>209</v>
          </cell>
          <cell r="G42">
            <v>713289.53307114867</v>
          </cell>
          <cell r="H42">
            <v>17399.635013908362</v>
          </cell>
          <cell r="I42">
            <v>19276.773486793772</v>
          </cell>
          <cell r="J42">
            <v>27870.639644212773</v>
          </cell>
          <cell r="K42">
            <v>76660.788177339899</v>
          </cell>
          <cell r="L42">
            <v>549.99999999999989</v>
          </cell>
          <cell r="M42">
            <v>855047.36939340353</v>
          </cell>
          <cell r="N42">
            <v>120000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5838</v>
          </cell>
          <cell r="Y42">
            <v>980885.36939340353</v>
          </cell>
          <cell r="Z42">
            <v>0</v>
          </cell>
          <cell r="AC42">
            <v>0</v>
          </cell>
          <cell r="AE42">
            <v>-8</v>
          </cell>
          <cell r="AF42">
            <v>966767.03810251621</v>
          </cell>
          <cell r="AG42">
            <v>14118.331290887319</v>
          </cell>
          <cell r="AH42">
            <v>1.4603653966727616E-2</v>
          </cell>
          <cell r="AJ42">
            <v>4275.2676410254207</v>
          </cell>
          <cell r="AK42">
            <v>4693.2314325043235</v>
          </cell>
        </row>
        <row r="43">
          <cell r="D43">
            <v>2028</v>
          </cell>
          <cell r="E43" t="str">
            <v>Emmaus Catholic and CofE Primary School</v>
          </cell>
          <cell r="F43">
            <v>295</v>
          </cell>
          <cell r="G43">
            <v>1006796.2308898988</v>
          </cell>
          <cell r="H43">
            <v>37097.335029653746</v>
          </cell>
          <cell r="I43">
            <v>36130.941043373816</v>
          </cell>
          <cell r="J43">
            <v>100673.83958065636</v>
          </cell>
          <cell r="K43">
            <v>105972.62845849803</v>
          </cell>
          <cell r="L43">
            <v>26833.653846153782</v>
          </cell>
          <cell r="M43">
            <v>1313504.6288482344</v>
          </cell>
          <cell r="N43">
            <v>120000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8134</v>
          </cell>
          <cell r="Y43">
            <v>1441638.6288482344</v>
          </cell>
          <cell r="Z43">
            <v>0</v>
          </cell>
          <cell r="AC43">
            <v>0</v>
          </cell>
          <cell r="AE43">
            <v>-18</v>
          </cell>
          <cell r="AF43">
            <v>1465140.4839987145</v>
          </cell>
          <cell r="AG43">
            <v>-23501.855150480056</v>
          </cell>
          <cell r="AH43">
            <v>-1.6040683748180885E-2</v>
          </cell>
          <cell r="AJ43">
            <v>4501.0800127754455</v>
          </cell>
          <cell r="AK43">
            <v>4886.9106062652017</v>
          </cell>
        </row>
        <row r="44">
          <cell r="D44">
            <v>2010</v>
          </cell>
          <cell r="E44" t="str">
            <v>Fox Hill Primary</v>
          </cell>
          <cell r="F44">
            <v>300</v>
          </cell>
          <cell r="G44">
            <v>1023860.5737863379</v>
          </cell>
          <cell r="H44">
            <v>45633.005036476701</v>
          </cell>
          <cell r="I44">
            <v>44662.167935066485</v>
          </cell>
          <cell r="J44">
            <v>99312.598404749209</v>
          </cell>
          <cell r="K44">
            <v>149318.18181818179</v>
          </cell>
          <cell r="L44">
            <v>9023.4375</v>
          </cell>
          <cell r="M44">
            <v>1371809.9644808122</v>
          </cell>
          <cell r="N44">
            <v>120000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108674.96982978885</v>
          </cell>
          <cell r="U44">
            <v>108674.96982978885</v>
          </cell>
          <cell r="V44">
            <v>0</v>
          </cell>
          <cell r="W44">
            <v>0</v>
          </cell>
          <cell r="X44">
            <v>7784</v>
          </cell>
          <cell r="Y44">
            <v>1608268.9343106011</v>
          </cell>
          <cell r="Z44">
            <v>0</v>
          </cell>
          <cell r="AC44">
            <v>2.975070383399725E-4</v>
          </cell>
          <cell r="AE44">
            <v>4</v>
          </cell>
          <cell r="AF44">
            <v>1559887.0737122516</v>
          </cell>
          <cell r="AG44">
            <v>48381.860598349478</v>
          </cell>
          <cell r="AH44">
            <v>3.1016258429021611E-2</v>
          </cell>
          <cell r="AJ44">
            <v>5090.0087625413908</v>
          </cell>
          <cell r="AK44">
            <v>5360.8964477020036</v>
          </cell>
        </row>
        <row r="45">
          <cell r="D45">
            <v>2036</v>
          </cell>
          <cell r="E45" t="str">
            <v>Gleadless Primary School</v>
          </cell>
          <cell r="F45">
            <v>398</v>
          </cell>
          <cell r="G45">
            <v>1358321.6945565415</v>
          </cell>
          <cell r="H45">
            <v>37425.630029916159</v>
          </cell>
          <cell r="I45">
            <v>34411.430356590521</v>
          </cell>
          <cell r="J45">
            <v>60018.360937724647</v>
          </cell>
          <cell r="K45">
            <v>130348.00604229607</v>
          </cell>
          <cell r="L45">
            <v>4629.3051359516548</v>
          </cell>
          <cell r="M45">
            <v>1625154.4270590204</v>
          </cell>
          <cell r="N45">
            <v>120000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34994.732499999998</v>
          </cell>
          <cell r="X45">
            <v>32886</v>
          </cell>
          <cell r="Y45">
            <v>1813035.1595590203</v>
          </cell>
          <cell r="Z45">
            <v>0</v>
          </cell>
          <cell r="AC45">
            <v>0</v>
          </cell>
          <cell r="AE45">
            <v>6</v>
          </cell>
          <cell r="AF45">
            <v>1712560.6181287598</v>
          </cell>
          <cell r="AG45">
            <v>100474.54143026052</v>
          </cell>
          <cell r="AH45">
            <v>5.8669188329254392E-2</v>
          </cell>
          <cell r="AJ45">
            <v>4188.8970870631629</v>
          </cell>
          <cell r="AK45">
            <v>4555.3647225101013</v>
          </cell>
        </row>
        <row r="46">
          <cell r="D46">
            <v>2305</v>
          </cell>
          <cell r="E46" t="str">
            <v>Greengate Lane Academy</v>
          </cell>
          <cell r="F46">
            <v>187</v>
          </cell>
          <cell r="G46">
            <v>638206.42432681727</v>
          </cell>
          <cell r="H46">
            <v>18384.520014695652</v>
          </cell>
          <cell r="I46">
            <v>25657.645441317505</v>
          </cell>
          <cell r="J46">
            <v>41633.870738114972</v>
          </cell>
          <cell r="K46">
            <v>49640</v>
          </cell>
          <cell r="L46">
            <v>2571.25</v>
          </cell>
          <cell r="M46">
            <v>776093.71052094537</v>
          </cell>
          <cell r="N46">
            <v>120000</v>
          </cell>
          <cell r="O46">
            <v>7001.9999999999472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64716.959372061297</v>
          </cell>
          <cell r="U46">
            <v>64716.959372061297</v>
          </cell>
          <cell r="V46">
            <v>0</v>
          </cell>
          <cell r="W46">
            <v>0</v>
          </cell>
          <cell r="X46">
            <v>4046</v>
          </cell>
          <cell r="Y46">
            <v>971858.66989300668</v>
          </cell>
          <cell r="Z46">
            <v>0</v>
          </cell>
          <cell r="AC46">
            <v>1.8293852917850018E-4</v>
          </cell>
          <cell r="AE46">
            <v>5</v>
          </cell>
          <cell r="AF46">
            <v>933010.59012546646</v>
          </cell>
          <cell r="AG46">
            <v>38848.079767540214</v>
          </cell>
          <cell r="AH46">
            <v>4.1637340646172222E-2</v>
          </cell>
          <cell r="AJ46">
            <v>4946.551813876189</v>
          </cell>
          <cell r="AK46">
            <v>5197.1051865936188</v>
          </cell>
        </row>
        <row r="47">
          <cell r="D47">
            <v>2341</v>
          </cell>
          <cell r="E47" t="str">
            <v>Greenhill Primary School</v>
          </cell>
          <cell r="F47">
            <v>494</v>
          </cell>
          <cell r="G47">
            <v>1685957.0781681696</v>
          </cell>
          <cell r="H47">
            <v>43663.235034902173</v>
          </cell>
          <cell r="I47">
            <v>40146.668749355587</v>
          </cell>
          <cell r="J47">
            <v>78921.050903162788</v>
          </cell>
          <cell r="K47">
            <v>149590.51851851848</v>
          </cell>
          <cell r="L47">
            <v>16288.968824940059</v>
          </cell>
          <cell r="M47">
            <v>2014567.5201990483</v>
          </cell>
          <cell r="N47">
            <v>120000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6525</v>
          </cell>
          <cell r="Y47">
            <v>2141092.5201990483</v>
          </cell>
          <cell r="Z47">
            <v>0</v>
          </cell>
          <cell r="AC47">
            <v>0</v>
          </cell>
          <cell r="AE47">
            <v>3</v>
          </cell>
          <cell r="AF47">
            <v>2029451.3196960334</v>
          </cell>
          <cell r="AG47">
            <v>111641.20050301496</v>
          </cell>
          <cell r="AH47">
            <v>5.5010533842091036E-2</v>
          </cell>
          <cell r="AJ47">
            <v>3953.4220767739985</v>
          </cell>
          <cell r="AK47">
            <v>4334.1953850183163</v>
          </cell>
        </row>
        <row r="48">
          <cell r="D48">
            <v>2296</v>
          </cell>
          <cell r="E48" t="str">
            <v>Grenoside Community Primary School</v>
          </cell>
          <cell r="F48">
            <v>327</v>
          </cell>
          <cell r="G48">
            <v>1116008.0254271082</v>
          </cell>
          <cell r="H48">
            <v>17071.340013646</v>
          </cell>
          <cell r="I48">
            <v>16744.847807448074</v>
          </cell>
          <cell r="J48">
            <v>41158.209759033736</v>
          </cell>
          <cell r="K48">
            <v>60319.193548387098</v>
          </cell>
          <cell r="L48">
            <v>4528.5971223021561</v>
          </cell>
          <cell r="M48">
            <v>1255830.2136779253</v>
          </cell>
          <cell r="N48">
            <v>120000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127055.61160929933</v>
          </cell>
          <cell r="W48">
            <v>0</v>
          </cell>
          <cell r="X48">
            <v>43065</v>
          </cell>
          <cell r="Y48">
            <v>1545950.8252872245</v>
          </cell>
          <cell r="Z48">
            <v>0</v>
          </cell>
          <cell r="AC48">
            <v>0</v>
          </cell>
          <cell r="AE48">
            <v>-9</v>
          </cell>
          <cell r="AF48">
            <v>1535596.7678151701</v>
          </cell>
          <cell r="AG48">
            <v>10354.057472054381</v>
          </cell>
          <cell r="AH48">
            <v>6.7426929315473998E-3</v>
          </cell>
          <cell r="AJ48">
            <v>4390.3484756403877</v>
          </cell>
          <cell r="AK48">
            <v>4727.678364792735</v>
          </cell>
        </row>
        <row r="49">
          <cell r="D49">
            <v>2356</v>
          </cell>
          <cell r="E49" t="str">
            <v>Greystones Primary School</v>
          </cell>
          <cell r="F49">
            <v>590</v>
          </cell>
          <cell r="G49">
            <v>2013592.4617797977</v>
          </cell>
          <cell r="H49">
            <v>10177.145008135094</v>
          </cell>
          <cell r="I49">
            <v>11509.492012691846</v>
          </cell>
          <cell r="J49">
            <v>10642.431011637782</v>
          </cell>
          <cell r="K49">
            <v>118066.63244353182</v>
          </cell>
          <cell r="L49">
            <v>16874</v>
          </cell>
          <cell r="M49">
            <v>2180862.1622557943</v>
          </cell>
          <cell r="N49">
            <v>120000</v>
          </cell>
          <cell r="O49">
            <v>0</v>
          </cell>
          <cell r="P49">
            <v>165337.8377442057</v>
          </cell>
          <cell r="Q49">
            <v>165337.8377442057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50112</v>
          </cell>
          <cell r="Y49">
            <v>2516311.9999999991</v>
          </cell>
          <cell r="Z49">
            <v>0</v>
          </cell>
          <cell r="AC49">
            <v>0</v>
          </cell>
          <cell r="AE49">
            <v>2</v>
          </cell>
          <cell r="AF49">
            <v>2360881.4400000009</v>
          </cell>
          <cell r="AG49">
            <v>155430.55999999819</v>
          </cell>
          <cell r="AH49">
            <v>6.5835817659694984E-2</v>
          </cell>
          <cell r="AJ49">
            <v>3835.2244897959199</v>
          </cell>
          <cell r="AK49">
            <v>4264.9355932203371</v>
          </cell>
        </row>
        <row r="50">
          <cell r="D50">
            <v>2279</v>
          </cell>
          <cell r="E50" t="str">
            <v>Halfway Junior School</v>
          </cell>
          <cell r="F50">
            <v>211</v>
          </cell>
          <cell r="G50">
            <v>720115.27022972424</v>
          </cell>
          <cell r="H50">
            <v>12803.505010234496</v>
          </cell>
          <cell r="I50">
            <v>12673.275170264209</v>
          </cell>
          <cell r="J50">
            <v>20716.389145837093</v>
          </cell>
          <cell r="K50">
            <v>55010.714285714283</v>
          </cell>
          <cell r="L50">
            <v>1650.0000000000018</v>
          </cell>
          <cell r="M50">
            <v>822969.15384177433</v>
          </cell>
          <cell r="N50">
            <v>120000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14970</v>
          </cell>
          <cell r="Y50">
            <v>957939.15384177433</v>
          </cell>
          <cell r="Z50">
            <v>0</v>
          </cell>
          <cell r="AC50">
            <v>0</v>
          </cell>
          <cell r="AE50">
            <v>15</v>
          </cell>
          <cell r="AF50">
            <v>862229.13131809409</v>
          </cell>
          <cell r="AG50">
            <v>95710.022523680236</v>
          </cell>
          <cell r="AH50">
            <v>0.11100300262108731</v>
          </cell>
          <cell r="AJ50">
            <v>4219.2482210106846</v>
          </cell>
          <cell r="AK50">
            <v>4539.9959897714425</v>
          </cell>
        </row>
        <row r="51">
          <cell r="D51">
            <v>2252</v>
          </cell>
          <cell r="E51" t="str">
            <v>Halfway Nursery Infant School</v>
          </cell>
          <cell r="F51">
            <v>147</v>
          </cell>
          <cell r="G51">
            <v>501691.68115530553</v>
          </cell>
          <cell r="H51">
            <v>12146.915009709643</v>
          </cell>
          <cell r="I51">
            <v>11168.62213327939</v>
          </cell>
          <cell r="J51">
            <v>12440.661542310583</v>
          </cell>
          <cell r="K51">
            <v>32850</v>
          </cell>
          <cell r="L51">
            <v>1617</v>
          </cell>
          <cell r="M51">
            <v>571914.87984060519</v>
          </cell>
          <cell r="N51">
            <v>120000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12475</v>
          </cell>
          <cell r="Y51">
            <v>704389.87984060519</v>
          </cell>
          <cell r="Z51">
            <v>0</v>
          </cell>
          <cell r="AC51">
            <v>0</v>
          </cell>
          <cell r="AE51">
            <v>-6</v>
          </cell>
          <cell r="AF51">
            <v>699079.689121117</v>
          </cell>
          <cell r="AG51">
            <v>5310.1907194881933</v>
          </cell>
          <cell r="AH51">
            <v>7.5959733949131965E-3</v>
          </cell>
          <cell r="AJ51">
            <v>4389.2682949092614</v>
          </cell>
          <cell r="AK51">
            <v>4791.7678900721439</v>
          </cell>
        </row>
        <row r="52">
          <cell r="D52">
            <v>2357</v>
          </cell>
          <cell r="E52" t="str">
            <v>Hallam Primary School</v>
          </cell>
          <cell r="F52">
            <v>637</v>
          </cell>
          <cell r="G52">
            <v>2173997.2850063238</v>
          </cell>
          <cell r="H52">
            <v>13460.095010759331</v>
          </cell>
          <cell r="I52">
            <v>12376.040742282565</v>
          </cell>
          <cell r="J52">
            <v>11311.450112296692</v>
          </cell>
          <cell r="K52">
            <v>124928.05970149253</v>
          </cell>
          <cell r="L52">
            <v>23227.624309392279</v>
          </cell>
          <cell r="M52">
            <v>2359300.5548825474</v>
          </cell>
          <cell r="N52">
            <v>120000</v>
          </cell>
          <cell r="O52">
            <v>0</v>
          </cell>
          <cell r="P52">
            <v>183359.445117453</v>
          </cell>
          <cell r="Q52">
            <v>183359.445117453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6184</v>
          </cell>
          <cell r="Y52">
            <v>2668844.0000000005</v>
          </cell>
          <cell r="Z52">
            <v>0</v>
          </cell>
          <cell r="AC52">
            <v>0</v>
          </cell>
          <cell r="AE52">
            <v>9</v>
          </cell>
          <cell r="AF52">
            <v>2474148.64</v>
          </cell>
          <cell r="AG52">
            <v>194695.36000000034</v>
          </cell>
          <cell r="AH52">
            <v>7.8691860647467138E-2</v>
          </cell>
          <cell r="AJ52">
            <v>3759.8471337579617</v>
          </cell>
          <cell r="AK52">
            <v>4189.7080062794357</v>
          </cell>
        </row>
        <row r="53">
          <cell r="D53">
            <v>2050</v>
          </cell>
          <cell r="E53" t="str">
            <v>Hartley Brook Primary School</v>
          </cell>
          <cell r="F53">
            <v>609</v>
          </cell>
          <cell r="G53">
            <v>2078436.9647862657</v>
          </cell>
          <cell r="H53">
            <v>98816.795078989133</v>
          </cell>
          <cell r="I53">
            <v>101196.03473714653</v>
          </cell>
          <cell r="J53">
            <v>233298.17517081561</v>
          </cell>
          <cell r="K53">
            <v>253894.33486238532</v>
          </cell>
          <cell r="L53">
            <v>23164.766355140186</v>
          </cell>
          <cell r="M53">
            <v>2788807.0709907426</v>
          </cell>
          <cell r="N53">
            <v>120000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7308</v>
          </cell>
          <cell r="Y53">
            <v>2916115.0709907426</v>
          </cell>
          <cell r="Z53">
            <v>0</v>
          </cell>
          <cell r="AC53">
            <v>0</v>
          </cell>
          <cell r="AE53">
            <v>-3</v>
          </cell>
          <cell r="AF53">
            <v>2833888.8794384622</v>
          </cell>
          <cell r="AG53">
            <v>82226.191552280448</v>
          </cell>
          <cell r="AH53">
            <v>2.9015319601583548E-2</v>
          </cell>
          <cell r="AJ53">
            <v>4450.6573847033696</v>
          </cell>
          <cell r="AK53">
            <v>4788.366290625193</v>
          </cell>
        </row>
        <row r="54">
          <cell r="D54">
            <v>2049</v>
          </cell>
          <cell r="E54" t="str">
            <v>Hatfield Academy</v>
          </cell>
          <cell r="F54">
            <v>380</v>
          </cell>
          <cell r="G54">
            <v>1296890.0601293612</v>
          </cell>
          <cell r="H54">
            <v>62047.75504959793</v>
          </cell>
          <cell r="I54">
            <v>60248.968974501957</v>
          </cell>
          <cell r="J54">
            <v>136267.20260068332</v>
          </cell>
          <cell r="K54">
            <v>143538.37209302327</v>
          </cell>
          <cell r="L54">
            <v>47556.886227544972</v>
          </cell>
          <cell r="M54">
            <v>1746549.2450747127</v>
          </cell>
          <cell r="N54">
            <v>120000</v>
          </cell>
          <cell r="O54">
            <v>16379.999999999909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5220</v>
          </cell>
          <cell r="Y54">
            <v>1888149.2450747127</v>
          </cell>
          <cell r="Z54">
            <v>0</v>
          </cell>
          <cell r="AC54">
            <v>0</v>
          </cell>
          <cell r="AE54">
            <v>-19</v>
          </cell>
          <cell r="AF54">
            <v>1915629.6857606797</v>
          </cell>
          <cell r="AG54">
            <v>-27480.440685966983</v>
          </cell>
          <cell r="AH54">
            <v>-1.4345382560228359E-2</v>
          </cell>
          <cell r="AJ54">
            <v>4621.1969066683705</v>
          </cell>
          <cell r="AK54">
            <v>4968.813802828191</v>
          </cell>
        </row>
        <row r="55">
          <cell r="D55">
            <v>2297</v>
          </cell>
          <cell r="E55" t="str">
            <v>High Green Primary School</v>
          </cell>
          <cell r="F55">
            <v>210</v>
          </cell>
          <cell r="G55">
            <v>716702.40165043646</v>
          </cell>
          <cell r="H55">
            <v>7879.0800062981225</v>
          </cell>
          <cell r="I55">
            <v>7885.7722549729006</v>
          </cell>
          <cell r="J55">
            <v>22185.910869827741</v>
          </cell>
          <cell r="K55">
            <v>75350.847457627111</v>
          </cell>
          <cell r="L55">
            <v>1283.3333333333319</v>
          </cell>
          <cell r="M55">
            <v>831287.34557249572</v>
          </cell>
          <cell r="N55">
            <v>120000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10853</v>
          </cell>
          <cell r="Y55">
            <v>962140.34557249572</v>
          </cell>
          <cell r="Z55">
            <v>0</v>
          </cell>
          <cell r="AC55">
            <v>0</v>
          </cell>
          <cell r="AE55">
            <v>3</v>
          </cell>
          <cell r="AF55">
            <v>900854.88392556633</v>
          </cell>
          <cell r="AG55">
            <v>61285.461646929383</v>
          </cell>
          <cell r="AH55">
            <v>6.803033733898603E-2</v>
          </cell>
          <cell r="AJ55">
            <v>4172.0759609930737</v>
          </cell>
          <cell r="AK55">
            <v>4581.6206932023606</v>
          </cell>
        </row>
        <row r="56">
          <cell r="D56">
            <v>2042</v>
          </cell>
          <cell r="E56" t="str">
            <v>High Hazels Junior School</v>
          </cell>
          <cell r="F56">
            <v>352</v>
          </cell>
          <cell r="G56">
            <v>1201329.7399093031</v>
          </cell>
          <cell r="H56">
            <v>37425.630029916138</v>
          </cell>
          <cell r="I56">
            <v>35908.161180770374</v>
          </cell>
          <cell r="J56">
            <v>110848.34393807614</v>
          </cell>
          <cell r="K56">
            <v>118041.00000000001</v>
          </cell>
          <cell r="L56">
            <v>42899.999999999985</v>
          </cell>
          <cell r="M56">
            <v>1546452.8750580659</v>
          </cell>
          <cell r="N56">
            <v>120000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5043</v>
          </cell>
          <cell r="Y56">
            <v>1671495.8750580659</v>
          </cell>
          <cell r="Z56">
            <v>0</v>
          </cell>
          <cell r="AC56">
            <v>0</v>
          </cell>
          <cell r="AE56">
            <v>-9</v>
          </cell>
          <cell r="AF56">
            <v>1677927.2330875676</v>
          </cell>
          <cell r="AG56">
            <v>-6431.3580295017455</v>
          </cell>
          <cell r="AH56">
            <v>-3.8329183189114531E-3</v>
          </cell>
          <cell r="AJ56">
            <v>4468.1178755888304</v>
          </cell>
          <cell r="AK56">
            <v>4748.5678268695056</v>
          </cell>
        </row>
        <row r="57">
          <cell r="D57">
            <v>2039</v>
          </cell>
          <cell r="E57" t="str">
            <v>High Hazels Nursery Infant Academy</v>
          </cell>
          <cell r="F57">
            <v>233</v>
          </cell>
          <cell r="G57">
            <v>795198.37897405575</v>
          </cell>
          <cell r="H57">
            <v>24293.830019419263</v>
          </cell>
          <cell r="I57">
            <v>22337.244266558759</v>
          </cell>
          <cell r="J57">
            <v>74736.781152220865</v>
          </cell>
          <cell r="K57">
            <v>75039.705882352937</v>
          </cell>
          <cell r="L57">
            <v>96649.441340782098</v>
          </cell>
          <cell r="M57">
            <v>1088255.3816353898</v>
          </cell>
          <cell r="N57">
            <v>120000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3390</v>
          </cell>
          <cell r="Y57">
            <v>1211645.3816353898</v>
          </cell>
          <cell r="Z57">
            <v>0</v>
          </cell>
          <cell r="AC57">
            <v>0</v>
          </cell>
          <cell r="AE57">
            <v>-30</v>
          </cell>
          <cell r="AF57">
            <v>1281505.5987170727</v>
          </cell>
          <cell r="AG57">
            <v>-69860.217081682989</v>
          </cell>
          <cell r="AH57">
            <v>-5.4514172354471729E-2</v>
          </cell>
          <cell r="AJ57">
            <v>4692.7648620421023</v>
          </cell>
          <cell r="AK57">
            <v>5200.1947709673377</v>
          </cell>
        </row>
        <row r="58">
          <cell r="D58">
            <v>2339</v>
          </cell>
          <cell r="E58" t="str">
            <v>Hillsborough Primary School</v>
          </cell>
          <cell r="F58">
            <v>340</v>
          </cell>
          <cell r="G58">
            <v>1160375.3169578495</v>
          </cell>
          <cell r="H58">
            <v>40380.285032277985</v>
          </cell>
          <cell r="I58">
            <v>41877.996007667651</v>
          </cell>
          <cell r="J58">
            <v>82179.140955526818</v>
          </cell>
          <cell r="K58">
            <v>139973.2558139535</v>
          </cell>
          <cell r="L58">
            <v>28143.81270903016</v>
          </cell>
          <cell r="M58">
            <v>1492929.8074763056</v>
          </cell>
          <cell r="N58">
            <v>120000</v>
          </cell>
          <cell r="O58">
            <v>3303.7168141592756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4716</v>
          </cell>
          <cell r="Y58">
            <v>1620949.5242904651</v>
          </cell>
          <cell r="Z58">
            <v>0</v>
          </cell>
          <cell r="AC58">
            <v>0</v>
          </cell>
          <cell r="AE58">
            <v>-13</v>
          </cell>
          <cell r="AF58">
            <v>1618458.8821296368</v>
          </cell>
          <cell r="AG58">
            <v>2490.6421608282253</v>
          </cell>
          <cell r="AH58">
            <v>1.5388973969798557E-3</v>
          </cell>
          <cell r="AJ58">
            <v>4404.989354474892</v>
          </cell>
          <cell r="AK58">
            <v>4767.4986008543092</v>
          </cell>
        </row>
        <row r="59">
          <cell r="D59">
            <v>2213</v>
          </cell>
          <cell r="E59" t="str">
            <v>Holt House Infant School</v>
          </cell>
          <cell r="F59">
            <v>166</v>
          </cell>
          <cell r="G59">
            <v>566536.18416177365</v>
          </cell>
          <cell r="H59">
            <v>4596.1300036739185</v>
          </cell>
          <cell r="I59">
            <v>4384.4388239427853</v>
          </cell>
          <cell r="J59">
            <v>1717.0201196101652</v>
          </cell>
          <cell r="K59">
            <v>35641.176470588231</v>
          </cell>
          <cell r="L59">
            <v>12564.220183486277</v>
          </cell>
          <cell r="M59">
            <v>625439.16976307495</v>
          </cell>
          <cell r="N59">
            <v>120000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13099</v>
          </cell>
          <cell r="Y59">
            <v>758538.16976307495</v>
          </cell>
          <cell r="Z59">
            <v>0</v>
          </cell>
          <cell r="AC59">
            <v>0</v>
          </cell>
          <cell r="AE59">
            <v>9</v>
          </cell>
          <cell r="AF59">
            <v>697660.55606141605</v>
          </cell>
          <cell r="AG59">
            <v>60877.613701658905</v>
          </cell>
          <cell r="AH59">
            <v>8.7259646790608811E-2</v>
          </cell>
          <cell r="AJ59">
            <v>4263.8178093083825</v>
          </cell>
          <cell r="AK59">
            <v>4569.5070467655114</v>
          </cell>
        </row>
        <row r="60">
          <cell r="D60">
            <v>2337</v>
          </cell>
          <cell r="E60" t="str">
            <v>Hucklow Primary School</v>
          </cell>
          <cell r="F60">
            <v>421</v>
          </cell>
          <cell r="G60">
            <v>1436817.6718801607</v>
          </cell>
          <cell r="H60">
            <v>51870.610041462736</v>
          </cell>
          <cell r="I60">
            <v>51750.979886727124</v>
          </cell>
          <cell r="J60">
            <v>139024.48941438171</v>
          </cell>
          <cell r="K60">
            <v>208191.29032258064</v>
          </cell>
          <cell r="L60">
            <v>97595.454545454515</v>
          </cell>
          <cell r="M60">
            <v>1985250.4960907677</v>
          </cell>
          <cell r="N60">
            <v>120000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4829</v>
          </cell>
          <cell r="Y60">
            <v>2110079.4960907679</v>
          </cell>
          <cell r="Z60">
            <v>0</v>
          </cell>
          <cell r="AC60">
            <v>0</v>
          </cell>
          <cell r="AE60">
            <v>14</v>
          </cell>
          <cell r="AF60">
            <v>1969660.3226646751</v>
          </cell>
          <cell r="AG60">
            <v>140419.17342609284</v>
          </cell>
          <cell r="AH60">
            <v>7.1291060600807213E-2</v>
          </cell>
          <cell r="AJ60">
            <v>4659.5802522473587</v>
          </cell>
          <cell r="AK60">
            <v>5012.0653113794961</v>
          </cell>
        </row>
        <row r="61">
          <cell r="D61">
            <v>2060</v>
          </cell>
          <cell r="E61" t="str">
            <v>Hunter's Bar Infant School</v>
          </cell>
          <cell r="F61">
            <v>264</v>
          </cell>
          <cell r="G61">
            <v>900997.3049319773</v>
          </cell>
          <cell r="H61">
            <v>6565.9000052484553</v>
          </cell>
          <cell r="I61">
            <v>7939.557052559634</v>
          </cell>
          <cell r="J61">
            <v>10363.995316565877</v>
          </cell>
          <cell r="K61">
            <v>77954.157303370797</v>
          </cell>
          <cell r="L61">
            <v>42657.627118644035</v>
          </cell>
          <cell r="M61">
            <v>1046478.5417283662</v>
          </cell>
          <cell r="N61">
            <v>120000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13608</v>
          </cell>
          <cell r="Y61">
            <v>1180086.5417283662</v>
          </cell>
          <cell r="Z61">
            <v>0</v>
          </cell>
          <cell r="AC61">
            <v>0</v>
          </cell>
          <cell r="AE61">
            <v>-5</v>
          </cell>
          <cell r="AF61">
            <v>1147763.1780246708</v>
          </cell>
          <cell r="AG61">
            <v>32323.363703695359</v>
          </cell>
          <cell r="AH61">
            <v>2.8162049735141945E-2</v>
          </cell>
          <cell r="AJ61">
            <v>4086.8976134746126</v>
          </cell>
          <cell r="AK61">
            <v>4470.0247792741138</v>
          </cell>
        </row>
        <row r="62">
          <cell r="D62">
            <v>2058</v>
          </cell>
          <cell r="E62" t="str">
            <v>Hunter's Bar Junior School</v>
          </cell>
          <cell r="F62">
            <v>360</v>
          </cell>
          <cell r="G62">
            <v>1228632.6885436054</v>
          </cell>
          <cell r="H62">
            <v>13788.390011021789</v>
          </cell>
          <cell r="I62">
            <v>14776.341050690437</v>
          </cell>
          <cell r="J62">
            <v>20147.916268398581</v>
          </cell>
          <cell r="K62">
            <v>102242.07492795389</v>
          </cell>
          <cell r="L62">
            <v>11000.000000000009</v>
          </cell>
          <cell r="M62">
            <v>1390587.41080167</v>
          </cell>
          <cell r="N62">
            <v>120000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20583</v>
          </cell>
          <cell r="Y62">
            <v>1531170.41080167</v>
          </cell>
          <cell r="Z62">
            <v>0</v>
          </cell>
          <cell r="AC62">
            <v>0</v>
          </cell>
          <cell r="AE62">
            <v>2</v>
          </cell>
          <cell r="AF62">
            <v>1478439.56064711</v>
          </cell>
          <cell r="AG62">
            <v>52730.850154560059</v>
          </cell>
          <cell r="AH62">
            <v>3.5666557875034047E-2</v>
          </cell>
          <cell r="AJ62">
            <v>3949.8394431483516</v>
          </cell>
          <cell r="AK62">
            <v>4253.2511411157502</v>
          </cell>
        </row>
        <row r="63">
          <cell r="D63">
            <v>2063</v>
          </cell>
          <cell r="E63" t="str">
            <v>Intake Primary School</v>
          </cell>
          <cell r="F63">
            <v>409</v>
          </cell>
          <cell r="G63">
            <v>1395863.2489287073</v>
          </cell>
          <cell r="H63">
            <v>33486.090026767146</v>
          </cell>
          <cell r="I63">
            <v>30789.17452958104</v>
          </cell>
          <cell r="J63">
            <v>59527.23130891734</v>
          </cell>
          <cell r="K63">
            <v>99094.35344827587</v>
          </cell>
          <cell r="L63">
            <v>3867.3352435530096</v>
          </cell>
          <cell r="M63">
            <v>1622627.4334858018</v>
          </cell>
          <cell r="N63">
            <v>120000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28188</v>
          </cell>
          <cell r="Y63">
            <v>1770815.4334858018</v>
          </cell>
          <cell r="Z63">
            <v>0</v>
          </cell>
          <cell r="AC63">
            <v>0</v>
          </cell>
          <cell r="AE63">
            <v>-4</v>
          </cell>
          <cell r="AF63">
            <v>1713616.7006593656</v>
          </cell>
          <cell r="AG63">
            <v>57198.732826436171</v>
          </cell>
          <cell r="AH63">
            <v>3.3378953884160463E-2</v>
          </cell>
          <cell r="AJ63">
            <v>3969.3129798047594</v>
          </cell>
          <cell r="AK63">
            <v>4329.6220867623515</v>
          </cell>
        </row>
        <row r="64">
          <cell r="D64">
            <v>2261</v>
          </cell>
          <cell r="E64" t="str">
            <v>Limpsfield Junior School</v>
          </cell>
          <cell r="F64">
            <v>226</v>
          </cell>
          <cell r="G64">
            <v>771308.29891904118</v>
          </cell>
          <cell r="H64">
            <v>20025.995016007797</v>
          </cell>
          <cell r="I64">
            <v>22933.246643768845</v>
          </cell>
          <cell r="J64">
            <v>52086.810790606629</v>
          </cell>
          <cell r="K64">
            <v>88715.660377358479</v>
          </cell>
          <cell r="L64">
            <v>13750.000000000042</v>
          </cell>
          <cell r="M64">
            <v>968820.01174678293</v>
          </cell>
          <cell r="N64">
            <v>120000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17590</v>
          </cell>
          <cell r="Y64">
            <v>1106410.0117467828</v>
          </cell>
          <cell r="Z64">
            <v>0</v>
          </cell>
          <cell r="AC64">
            <v>0</v>
          </cell>
          <cell r="AE64">
            <v>-2</v>
          </cell>
          <cell r="AF64">
            <v>1075756.1715985299</v>
          </cell>
          <cell r="AG64">
            <v>30653.840148252901</v>
          </cell>
          <cell r="AH64">
            <v>2.8495156205055782E-2</v>
          </cell>
          <cell r="AJ64">
            <v>4538.3488228005699</v>
          </cell>
          <cell r="AK64">
            <v>4895.6195210034639</v>
          </cell>
        </row>
        <row r="65">
          <cell r="D65">
            <v>2315</v>
          </cell>
          <cell r="E65" t="str">
            <v>Lound Infant School</v>
          </cell>
          <cell r="F65">
            <v>149</v>
          </cell>
          <cell r="G65">
            <v>508517.41831388109</v>
          </cell>
          <cell r="H65">
            <v>4596.1300036739185</v>
          </cell>
          <cell r="I65">
            <v>4225.9651315111205</v>
          </cell>
          <cell r="J65">
            <v>6775.2685800833569</v>
          </cell>
          <cell r="K65">
            <v>44787.647058823532</v>
          </cell>
          <cell r="L65">
            <v>0</v>
          </cell>
          <cell r="M65">
            <v>568902.42908797297</v>
          </cell>
          <cell r="N65">
            <v>120000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2944</v>
          </cell>
          <cell r="Y65">
            <v>691846.42908797297</v>
          </cell>
          <cell r="Z65">
            <v>0</v>
          </cell>
          <cell r="AC65">
            <v>0</v>
          </cell>
          <cell r="AE65">
            <v>6</v>
          </cell>
          <cell r="AF65">
            <v>647903.32132684905</v>
          </cell>
          <cell r="AG65">
            <v>43943.107761123916</v>
          </cell>
          <cell r="AH65">
            <v>6.7823556871312668E-2</v>
          </cell>
          <cell r="AJ65">
            <v>4350.9124568311126</v>
          </cell>
          <cell r="AK65">
            <v>4643.2646247514967</v>
          </cell>
        </row>
        <row r="66">
          <cell r="D66">
            <v>2298</v>
          </cell>
          <cell r="E66" t="str">
            <v>Lound Junior School</v>
          </cell>
          <cell r="F66">
            <v>211</v>
          </cell>
          <cell r="G66">
            <v>720115.27022972424</v>
          </cell>
          <cell r="H66">
            <v>5581.0150044611828</v>
          </cell>
          <cell r="I66">
            <v>7444.4413587565996</v>
          </cell>
          <cell r="J66">
            <v>8654.7095218188097</v>
          </cell>
          <cell r="K66">
            <v>54428.870192307688</v>
          </cell>
          <cell r="L66">
            <v>550.00000000000045</v>
          </cell>
          <cell r="M66">
            <v>796774.30630706856</v>
          </cell>
          <cell r="N66">
            <v>120000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3094</v>
          </cell>
          <cell r="Y66">
            <v>919868.30630706856</v>
          </cell>
          <cell r="Z66">
            <v>0</v>
          </cell>
          <cell r="AC66">
            <v>0</v>
          </cell>
          <cell r="AE66">
            <v>-17</v>
          </cell>
          <cell r="AF66">
            <v>944293.0732913122</v>
          </cell>
          <cell r="AG66">
            <v>-24424.766984243644</v>
          </cell>
          <cell r="AH66">
            <v>-2.5865663611310492E-2</v>
          </cell>
          <cell r="AJ66">
            <v>3961.7562863654043</v>
          </cell>
          <cell r="AK66">
            <v>4359.5654327349221</v>
          </cell>
        </row>
        <row r="67">
          <cell r="D67">
            <v>2029</v>
          </cell>
          <cell r="E67" t="str">
            <v>Lowedges Junior Academy</v>
          </cell>
          <cell r="F67">
            <v>314</v>
          </cell>
          <cell r="G67">
            <v>1071640.733896367</v>
          </cell>
          <cell r="H67">
            <v>59749.690047760865</v>
          </cell>
          <cell r="I67">
            <v>56689.449976188705</v>
          </cell>
          <cell r="J67">
            <v>100549.33671860278</v>
          </cell>
          <cell r="K67">
            <v>97230.614754098351</v>
          </cell>
          <cell r="L67">
            <v>17950.896057347654</v>
          </cell>
          <cell r="M67">
            <v>1403810.7214503656</v>
          </cell>
          <cell r="N67">
            <v>120000</v>
          </cell>
          <cell r="O67">
            <v>11844.000000000085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4366</v>
          </cell>
          <cell r="Y67">
            <v>1540020.7214503656</v>
          </cell>
          <cell r="Z67">
            <v>0</v>
          </cell>
          <cell r="AC67">
            <v>0</v>
          </cell>
          <cell r="AE67">
            <v>-1</v>
          </cell>
          <cell r="AF67">
            <v>1498050.2835000379</v>
          </cell>
          <cell r="AG67">
            <v>41970.43795032776</v>
          </cell>
          <cell r="AH67">
            <v>2.8016708392637008E-2</v>
          </cell>
          <cell r="AJ67">
            <v>4575.8351857144062</v>
          </cell>
          <cell r="AK67">
            <v>4904.5245906062601</v>
          </cell>
        </row>
        <row r="68">
          <cell r="D68">
            <v>2045</v>
          </cell>
          <cell r="E68" t="str">
            <v>Lower Meadow Primary School</v>
          </cell>
          <cell r="F68">
            <v>246</v>
          </cell>
          <cell r="G68">
            <v>839565.67050479702</v>
          </cell>
          <cell r="H68">
            <v>49572.545039625802</v>
          </cell>
          <cell r="I68">
            <v>49504.162969130244</v>
          </cell>
          <cell r="J68">
            <v>80116.004094513119</v>
          </cell>
          <cell r="K68">
            <v>95150.59701492537</v>
          </cell>
          <cell r="L68">
            <v>13009.61538461539</v>
          </cell>
          <cell r="M68">
            <v>1126918.595007607</v>
          </cell>
          <cell r="N68">
            <v>120000</v>
          </cell>
          <cell r="O68">
            <v>4863.5409836065601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1195.9406689513933</v>
          </cell>
          <cell r="U68">
            <v>1195.9406689513933</v>
          </cell>
          <cell r="V68">
            <v>0</v>
          </cell>
          <cell r="W68">
            <v>0</v>
          </cell>
          <cell r="X68">
            <v>5429</v>
          </cell>
          <cell r="Y68">
            <v>1258407.0766601646</v>
          </cell>
          <cell r="Z68">
            <v>0</v>
          </cell>
          <cell r="AC68">
            <v>3.1926436349749565E-5</v>
          </cell>
          <cell r="AE68">
            <v>-18</v>
          </cell>
          <cell r="AF68">
            <v>1317467.1485664423</v>
          </cell>
          <cell r="AG68">
            <v>-59060.071906277677</v>
          </cell>
          <cell r="AH68">
            <v>-4.4828496839971997E-2</v>
          </cell>
          <cell r="AJ68">
            <v>4810.5258657819786</v>
          </cell>
          <cell r="AK68">
            <v>5115.4759213827829</v>
          </cell>
        </row>
        <row r="69">
          <cell r="D69">
            <v>2070</v>
          </cell>
          <cell r="E69" t="str">
            <v>Lowfield Community Primary School</v>
          </cell>
          <cell r="F69">
            <v>374</v>
          </cell>
          <cell r="G69">
            <v>1276412.8486536345</v>
          </cell>
          <cell r="H69">
            <v>52527.200041987606</v>
          </cell>
          <cell r="I69">
            <v>49876.290662116669</v>
          </cell>
          <cell r="J69">
            <v>87533.221638234507</v>
          </cell>
          <cell r="K69">
            <v>132581.65467625897</v>
          </cell>
          <cell r="L69">
            <v>92565</v>
          </cell>
          <cell r="M69">
            <v>1691496.2156722324</v>
          </cell>
          <cell r="N69">
            <v>120000</v>
          </cell>
          <cell r="O69">
            <v>3203.9999999999959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24202</v>
          </cell>
          <cell r="Y69">
            <v>1838902.2156722324</v>
          </cell>
          <cell r="Z69">
            <v>0</v>
          </cell>
          <cell r="AC69">
            <v>0</v>
          </cell>
          <cell r="AE69">
            <v>4</v>
          </cell>
          <cell r="AF69">
            <v>1774108.7933506465</v>
          </cell>
          <cell r="AG69">
            <v>64793.422321585938</v>
          </cell>
          <cell r="AH69">
            <v>3.6521673622514843E-2</v>
          </cell>
          <cell r="AJ69">
            <v>4615.0086306774228</v>
          </cell>
          <cell r="AK69">
            <v>4916.8508440434025</v>
          </cell>
        </row>
        <row r="70">
          <cell r="D70">
            <v>2292</v>
          </cell>
          <cell r="E70" t="str">
            <v>Loxley Primary School</v>
          </cell>
          <cell r="F70">
            <v>205</v>
          </cell>
          <cell r="G70">
            <v>699638.05875399755</v>
          </cell>
          <cell r="H70">
            <v>2954.6550023618006</v>
          </cell>
          <cell r="I70">
            <v>3570.0117525815085</v>
          </cell>
          <cell r="J70">
            <v>5916.7585202782693</v>
          </cell>
          <cell r="K70">
            <v>32252.15517241379</v>
          </cell>
          <cell r="L70">
            <v>644.28571428571388</v>
          </cell>
          <cell r="M70">
            <v>744975.9249159185</v>
          </cell>
          <cell r="N70">
            <v>120000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3076</v>
          </cell>
          <cell r="Y70">
            <v>868051.9249159185</v>
          </cell>
          <cell r="Z70">
            <v>0</v>
          </cell>
          <cell r="AC70">
            <v>0</v>
          </cell>
          <cell r="AE70">
            <v>-5</v>
          </cell>
          <cell r="AF70">
            <v>855151.46017908852</v>
          </cell>
          <cell r="AG70">
            <v>12900.464736829977</v>
          </cell>
          <cell r="AH70">
            <v>1.5085590491920953E-2</v>
          </cell>
          <cell r="AJ70">
            <v>3892.269810376612</v>
          </cell>
          <cell r="AK70">
            <v>4234.3996337361878</v>
          </cell>
        </row>
        <row r="71">
          <cell r="D71">
            <v>2072</v>
          </cell>
          <cell r="E71" t="str">
            <v>Lydgate Infant School</v>
          </cell>
          <cell r="F71">
            <v>355</v>
          </cell>
          <cell r="G71">
            <v>1211568.3456471665</v>
          </cell>
          <cell r="H71">
            <v>12146.91500970963</v>
          </cell>
          <cell r="I71">
            <v>11839.030199468116</v>
          </cell>
          <cell r="J71">
            <v>10804.851833763067</v>
          </cell>
          <cell r="K71">
            <v>97997.899159663866</v>
          </cell>
          <cell r="L71">
            <v>28834.388185654054</v>
          </cell>
          <cell r="M71">
            <v>1373191.4300354251</v>
          </cell>
          <cell r="N71">
            <v>120000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21083</v>
          </cell>
          <cell r="Y71">
            <v>1514274.4300354251</v>
          </cell>
          <cell r="Z71">
            <v>0</v>
          </cell>
          <cell r="AC71">
            <v>0</v>
          </cell>
          <cell r="AE71">
            <v>1</v>
          </cell>
          <cell r="AF71">
            <v>1449836.6301677264</v>
          </cell>
          <cell r="AG71">
            <v>64437.79986769869</v>
          </cell>
          <cell r="AH71">
            <v>4.4444869530054644E-2</v>
          </cell>
          <cell r="AJ71">
            <v>3915.7037010387753</v>
          </cell>
          <cell r="AK71">
            <v>4265.5617747476763</v>
          </cell>
        </row>
        <row r="72">
          <cell r="D72">
            <v>2071</v>
          </cell>
          <cell r="E72" t="str">
            <v>Lydgate Junior School</v>
          </cell>
          <cell r="F72">
            <v>480</v>
          </cell>
          <cell r="G72">
            <v>1638176.9180581404</v>
          </cell>
          <cell r="H72">
            <v>10505.440008397529</v>
          </cell>
          <cell r="I72">
            <v>10477.599499614342</v>
          </cell>
          <cell r="J72">
            <v>5112.3887345149542</v>
          </cell>
          <cell r="K72">
            <v>128834.7071583514</v>
          </cell>
          <cell r="L72">
            <v>18739.039665970769</v>
          </cell>
          <cell r="M72">
            <v>1811846.0931249894</v>
          </cell>
          <cell r="N72">
            <v>120000</v>
          </cell>
          <cell r="O72">
            <v>0</v>
          </cell>
          <cell r="P72">
            <v>74553.906875010434</v>
          </cell>
          <cell r="Q72">
            <v>74553.906875010434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23079</v>
          </cell>
          <cell r="Y72">
            <v>2029479.0000000002</v>
          </cell>
          <cell r="Z72">
            <v>0</v>
          </cell>
          <cell r="AC72">
            <v>0</v>
          </cell>
          <cell r="AE72">
            <v>-1</v>
          </cell>
          <cell r="AF72">
            <v>1913351.28</v>
          </cell>
          <cell r="AG72">
            <v>116127.7200000002</v>
          </cell>
          <cell r="AH72">
            <v>6.0693361022551073E-2</v>
          </cell>
          <cell r="AJ72">
            <v>3797.9812889812888</v>
          </cell>
          <cell r="AK72">
            <v>4228.0812500000002</v>
          </cell>
        </row>
        <row r="73">
          <cell r="D73">
            <v>2358</v>
          </cell>
          <cell r="E73" t="str">
            <v>Malin Bridge Primary School</v>
          </cell>
          <cell r="F73">
            <v>523</v>
          </cell>
          <cell r="G73">
            <v>1784930.2669675157</v>
          </cell>
          <cell r="H73">
            <v>27576.780022043426</v>
          </cell>
          <cell r="I73">
            <v>27823.828443868224</v>
          </cell>
          <cell r="J73">
            <v>37654.560596045441</v>
          </cell>
          <cell r="K73">
            <v>129274.26636568848</v>
          </cell>
          <cell r="L73">
            <v>9631.1383928571558</v>
          </cell>
          <cell r="M73">
            <v>2016890.8407880184</v>
          </cell>
          <cell r="N73">
            <v>120000</v>
          </cell>
          <cell r="O73">
            <v>0</v>
          </cell>
          <cell r="P73">
            <v>49249.159211981198</v>
          </cell>
          <cell r="Q73">
            <v>49249.159211981198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28188</v>
          </cell>
          <cell r="Y73">
            <v>2214327.9999999995</v>
          </cell>
          <cell r="Z73">
            <v>0</v>
          </cell>
          <cell r="AC73">
            <v>0</v>
          </cell>
          <cell r="AE73">
            <v>-1</v>
          </cell>
          <cell r="AF73">
            <v>2087445.1199999996</v>
          </cell>
          <cell r="AG73">
            <v>126882.87999999989</v>
          </cell>
          <cell r="AH73">
            <v>6.0783815959674144E-2</v>
          </cell>
          <cell r="AJ73">
            <v>3803.7938931297704</v>
          </cell>
          <cell r="AK73">
            <v>4233.8967495219877</v>
          </cell>
        </row>
        <row r="74">
          <cell r="D74">
            <v>2359</v>
          </cell>
          <cell r="E74" t="str">
            <v>Manor Lodge Community Primary and Nursery School</v>
          </cell>
          <cell r="F74">
            <v>299</v>
          </cell>
          <cell r="G74">
            <v>1020447.7052070501</v>
          </cell>
          <cell r="H74">
            <v>48259.365038576114</v>
          </cell>
          <cell r="I74">
            <v>53906.295832842341</v>
          </cell>
          <cell r="J74">
            <v>80862.366443802995</v>
          </cell>
          <cell r="K74">
            <v>130686.86974789917</v>
          </cell>
          <cell r="L74">
            <v>31354.28015564206</v>
          </cell>
          <cell r="M74">
            <v>1365516.8824258128</v>
          </cell>
          <cell r="N74">
            <v>120000</v>
          </cell>
          <cell r="O74">
            <v>2817.4228187919421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11335.839395350002</v>
          </cell>
          <cell r="U74">
            <v>11335.839395350002</v>
          </cell>
          <cell r="V74">
            <v>0</v>
          </cell>
          <cell r="W74">
            <v>0</v>
          </cell>
          <cell r="X74">
            <v>3468</v>
          </cell>
          <cell r="Y74">
            <v>1503138.1446399544</v>
          </cell>
          <cell r="Z74">
            <v>0</v>
          </cell>
          <cell r="AC74">
            <v>-3.9333710446953773E-5</v>
          </cell>
          <cell r="AE74">
            <v>9</v>
          </cell>
          <cell r="AF74">
            <v>1435371.5410374382</v>
          </cell>
          <cell r="AG74">
            <v>67766.603602516232</v>
          </cell>
          <cell r="AH74">
            <v>4.7211890207560343E-2</v>
          </cell>
          <cell r="AJ74">
            <v>4752.9695504739248</v>
          </cell>
          <cell r="AK74">
            <v>5027.2178750500152</v>
          </cell>
        </row>
        <row r="75">
          <cell r="D75">
            <v>2012</v>
          </cell>
          <cell r="E75" t="str">
            <v>Mansel Primary</v>
          </cell>
          <cell r="F75">
            <v>406</v>
          </cell>
          <cell r="G75">
            <v>1385624.6431908438</v>
          </cell>
          <cell r="H75">
            <v>67957.065054321414</v>
          </cell>
          <cell r="I75">
            <v>70855.698247197593</v>
          </cell>
          <cell r="J75">
            <v>137349.8549265707</v>
          </cell>
          <cell r="K75">
            <v>176460.09230769231</v>
          </cell>
          <cell r="L75">
            <v>12262.138728323707</v>
          </cell>
          <cell r="M75">
            <v>1850509.4924549495</v>
          </cell>
          <cell r="N75">
            <v>120000</v>
          </cell>
          <cell r="O75">
            <v>1533.7777777777651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4491</v>
          </cell>
          <cell r="Y75">
            <v>1976534.2702327275</v>
          </cell>
          <cell r="Z75">
            <v>0</v>
          </cell>
          <cell r="AC75">
            <v>0</v>
          </cell>
          <cell r="AE75">
            <v>15</v>
          </cell>
          <cell r="AF75">
            <v>1854681.6154029579</v>
          </cell>
          <cell r="AG75">
            <v>121852.65482976963</v>
          </cell>
          <cell r="AH75">
            <v>6.5700039196913737E-2</v>
          </cell>
          <cell r="AJ75">
            <v>4563.5512414397899</v>
          </cell>
          <cell r="AK75">
            <v>4868.3110104254374</v>
          </cell>
        </row>
        <row r="76">
          <cell r="D76">
            <v>2079</v>
          </cell>
          <cell r="E76" t="str">
            <v>Marlcliffe Community Primary School</v>
          </cell>
          <cell r="F76">
            <v>495</v>
          </cell>
          <cell r="G76">
            <v>1689369.9467474574</v>
          </cell>
          <cell r="H76">
            <v>19697.700015745322</v>
          </cell>
          <cell r="I76">
            <v>23170.195076348238</v>
          </cell>
          <cell r="J76">
            <v>43343.156532861998</v>
          </cell>
          <cell r="K76">
            <v>128928.27669902914</v>
          </cell>
          <cell r="L76">
            <v>5792.5531914893754</v>
          </cell>
          <cell r="M76">
            <v>1910301.8282629314</v>
          </cell>
          <cell r="N76">
            <v>120000</v>
          </cell>
          <cell r="O76">
            <v>0</v>
          </cell>
          <cell r="P76">
            <v>38798.1717370689</v>
          </cell>
          <cell r="Q76">
            <v>38798.1717370689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28710</v>
          </cell>
          <cell r="Y76">
            <v>2097810.0000000005</v>
          </cell>
          <cell r="Z76">
            <v>0</v>
          </cell>
          <cell r="AC76">
            <v>0</v>
          </cell>
          <cell r="AE76">
            <v>-12</v>
          </cell>
          <cell r="AF76">
            <v>2032789.1604307638</v>
          </cell>
          <cell r="AG76">
            <v>65020.839569236618</v>
          </cell>
          <cell r="AH76">
            <v>3.1986022375020039E-2</v>
          </cell>
          <cell r="AJ76">
            <v>3829.5660758003232</v>
          </cell>
          <cell r="AK76">
            <v>4238.0000000000009</v>
          </cell>
        </row>
        <row r="77">
          <cell r="D77">
            <v>2081</v>
          </cell>
          <cell r="E77" t="str">
            <v>Meersbrook Bank Primary School</v>
          </cell>
          <cell r="F77">
            <v>198</v>
          </cell>
          <cell r="G77">
            <v>675747.97869898297</v>
          </cell>
          <cell r="H77">
            <v>6237.6050049860314</v>
          </cell>
          <cell r="I77">
            <v>5888.3961719859353</v>
          </cell>
          <cell r="J77">
            <v>5224.536445030034</v>
          </cell>
          <cell r="K77">
            <v>48325.120481927712</v>
          </cell>
          <cell r="L77">
            <v>3936.1445783132513</v>
          </cell>
          <cell r="M77">
            <v>745359.78138122591</v>
          </cell>
          <cell r="N77">
            <v>120000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14222</v>
          </cell>
          <cell r="Y77">
            <v>879581.78138122591</v>
          </cell>
          <cell r="Z77">
            <v>0</v>
          </cell>
          <cell r="AC77">
            <v>0</v>
          </cell>
          <cell r="AE77">
            <v>0</v>
          </cell>
          <cell r="AF77">
            <v>858946.60564236029</v>
          </cell>
          <cell r="AG77">
            <v>20635.175738865626</v>
          </cell>
          <cell r="AH77">
            <v>2.4023816618302694E-2</v>
          </cell>
          <cell r="AJ77">
            <v>4158.2341699109102</v>
          </cell>
          <cell r="AK77">
            <v>4442.3322291981103</v>
          </cell>
        </row>
        <row r="78">
          <cell r="D78">
            <v>2013</v>
          </cell>
          <cell r="E78" t="str">
            <v>Meynell Community Primary School</v>
          </cell>
          <cell r="F78">
            <v>368</v>
          </cell>
          <cell r="G78">
            <v>1255935.6371779076</v>
          </cell>
          <cell r="H78">
            <v>81088.865064818368</v>
          </cell>
          <cell r="I78">
            <v>76671.081671701715</v>
          </cell>
          <cell r="J78">
            <v>144972.1852341124</v>
          </cell>
          <cell r="K78">
            <v>171731.27516778524</v>
          </cell>
          <cell r="L78">
            <v>13666.881028938906</v>
          </cell>
          <cell r="M78">
            <v>1744065.9253452641</v>
          </cell>
          <cell r="N78">
            <v>120000</v>
          </cell>
          <cell r="O78">
            <v>7201.5694822888427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1221.113505467019</v>
          </cell>
          <cell r="U78">
            <v>1221.113505467019</v>
          </cell>
          <cell r="V78">
            <v>0</v>
          </cell>
          <cell r="W78">
            <v>0</v>
          </cell>
          <cell r="X78">
            <v>5988</v>
          </cell>
          <cell r="Y78">
            <v>1878476.6083330195</v>
          </cell>
          <cell r="Z78">
            <v>0</v>
          </cell>
          <cell r="AC78">
            <v>-3.9584236219525337E-5</v>
          </cell>
          <cell r="AE78">
            <v>3</v>
          </cell>
          <cell r="AF78">
            <v>1830107.6239385367</v>
          </cell>
          <cell r="AG78">
            <v>48368.984394482803</v>
          </cell>
          <cell r="AH78">
            <v>2.6429584665839986E-2</v>
          </cell>
          <cell r="AJ78">
            <v>4774.5218658590047</v>
          </cell>
          <cell r="AK78">
            <v>5104.5560009049441</v>
          </cell>
        </row>
        <row r="79">
          <cell r="D79">
            <v>2346</v>
          </cell>
          <cell r="E79" t="str">
            <v>Monteney Primary School</v>
          </cell>
          <cell r="F79">
            <v>416</v>
          </cell>
          <cell r="G79">
            <v>1419753.3289837218</v>
          </cell>
          <cell r="H79">
            <v>34470.975027554348</v>
          </cell>
          <cell r="I79">
            <v>31694.738486333368</v>
          </cell>
          <cell r="J79">
            <v>88511.613733417704</v>
          </cell>
          <cell r="K79">
            <v>150986.96629213481</v>
          </cell>
          <cell r="L79">
            <v>3867.0422535211205</v>
          </cell>
          <cell r="M79">
            <v>1729284.6647766829</v>
          </cell>
          <cell r="N79">
            <v>120000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5639</v>
          </cell>
          <cell r="Y79">
            <v>1854923.6647766829</v>
          </cell>
          <cell r="Z79">
            <v>0</v>
          </cell>
          <cell r="AC79">
            <v>0</v>
          </cell>
          <cell r="AE79">
            <v>-2</v>
          </cell>
          <cell r="AF79">
            <v>1785971.4657540058</v>
          </cell>
          <cell r="AG79">
            <v>68952.199022677029</v>
          </cell>
          <cell r="AH79">
            <v>3.8607671144156058E-2</v>
          </cell>
          <cell r="AJ79">
            <v>4092.779008980875</v>
          </cell>
          <cell r="AK79">
            <v>4458.9511172516413</v>
          </cell>
        </row>
        <row r="80">
          <cell r="D80">
            <v>2257</v>
          </cell>
          <cell r="E80" t="str">
            <v>Mosborough Primary School</v>
          </cell>
          <cell r="F80">
            <v>418</v>
          </cell>
          <cell r="G80">
            <v>1426579.0661422973</v>
          </cell>
          <cell r="H80">
            <v>17071.340013645964</v>
          </cell>
          <cell r="I80">
            <v>16823.365952110929</v>
          </cell>
          <cell r="J80">
            <v>10365.590405146751</v>
          </cell>
          <cell r="K80">
            <v>83220</v>
          </cell>
          <cell r="L80">
            <v>3193.0555555555584</v>
          </cell>
          <cell r="M80">
            <v>1557252.4180687566</v>
          </cell>
          <cell r="N80">
            <v>120000</v>
          </cell>
          <cell r="O80">
            <v>0</v>
          </cell>
          <cell r="P80">
            <v>69987.581931243418</v>
          </cell>
          <cell r="Q80">
            <v>69987.581931243418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142001.22007160287</v>
          </cell>
          <cell r="W80">
            <v>0</v>
          </cell>
          <cell r="X80">
            <v>38106</v>
          </cell>
          <cell r="Y80">
            <v>1927347.2200716031</v>
          </cell>
          <cell r="Z80">
            <v>0</v>
          </cell>
          <cell r="AC80">
            <v>0</v>
          </cell>
          <cell r="AE80">
            <v>1</v>
          </cell>
          <cell r="AF80">
            <v>1832274.8355033849</v>
          </cell>
          <cell r="AG80">
            <v>95072.384568218142</v>
          </cell>
          <cell r="AH80">
            <v>5.188762227479847E-2</v>
          </cell>
          <cell r="AJ80">
            <v>4214.0644496484056</v>
          </cell>
          <cell r="AK80">
            <v>4610.8785169177108</v>
          </cell>
        </row>
        <row r="81">
          <cell r="D81">
            <v>2092</v>
          </cell>
          <cell r="E81" t="str">
            <v>Mundella Primary School</v>
          </cell>
          <cell r="F81">
            <v>418</v>
          </cell>
          <cell r="G81">
            <v>1426579.0661422973</v>
          </cell>
          <cell r="H81">
            <v>15758.16001259622</v>
          </cell>
          <cell r="I81">
            <v>17050.708735247565</v>
          </cell>
          <cell r="J81">
            <v>30550.583209280001</v>
          </cell>
          <cell r="K81">
            <v>102568.06722689077</v>
          </cell>
          <cell r="L81">
            <v>1280.7799442896928</v>
          </cell>
          <cell r="M81">
            <v>1593787.3652706016</v>
          </cell>
          <cell r="N81">
            <v>120000</v>
          </cell>
          <cell r="O81">
            <v>0</v>
          </cell>
          <cell r="P81">
            <v>33452.634729398298</v>
          </cell>
          <cell r="Q81">
            <v>33452.634729398298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28449</v>
          </cell>
          <cell r="Y81">
            <v>1775689</v>
          </cell>
          <cell r="Z81">
            <v>0</v>
          </cell>
          <cell r="AC81">
            <v>0</v>
          </cell>
          <cell r="AE81">
            <v>6</v>
          </cell>
          <cell r="AF81">
            <v>1669413.5171965596</v>
          </cell>
          <cell r="AG81">
            <v>106275.48280344042</v>
          </cell>
          <cell r="AH81">
            <v>6.3660370368815791E-2</v>
          </cell>
          <cell r="AJ81">
            <v>3872.0945563023288</v>
          </cell>
          <cell r="AK81">
            <v>4248.0598086124401</v>
          </cell>
        </row>
        <row r="82">
          <cell r="D82">
            <v>2002</v>
          </cell>
          <cell r="E82" t="str">
            <v>Nether Edge Primary School</v>
          </cell>
          <cell r="F82">
            <v>393</v>
          </cell>
          <cell r="G82">
            <v>1341257.3516601026</v>
          </cell>
          <cell r="H82">
            <v>29218.255023355643</v>
          </cell>
          <cell r="I82">
            <v>29657.219583640526</v>
          </cell>
          <cell r="J82">
            <v>28578.330369187228</v>
          </cell>
          <cell r="K82">
            <v>174347.94212218648</v>
          </cell>
          <cell r="L82">
            <v>40198.628048780585</v>
          </cell>
          <cell r="M82">
            <v>1643257.7268072532</v>
          </cell>
          <cell r="N82">
            <v>120000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3842</v>
          </cell>
          <cell r="Y82">
            <v>1767099.7268072532</v>
          </cell>
          <cell r="Z82">
            <v>0</v>
          </cell>
          <cell r="AC82">
            <v>0</v>
          </cell>
          <cell r="AE82">
            <v>-17</v>
          </cell>
          <cell r="AF82">
            <v>1795724.0599749426</v>
          </cell>
          <cell r="AG82">
            <v>-28624.333167689387</v>
          </cell>
          <cell r="AH82">
            <v>-1.5940273790221872E-2</v>
          </cell>
          <cell r="AJ82">
            <v>4199.934780426689</v>
          </cell>
          <cell r="AK82">
            <v>4496.4369638861408</v>
          </cell>
        </row>
        <row r="83">
          <cell r="D83">
            <v>2221</v>
          </cell>
          <cell r="E83" t="str">
            <v>Nether Green Infant School</v>
          </cell>
          <cell r="F83">
            <v>208</v>
          </cell>
          <cell r="G83">
            <v>709876.66449186089</v>
          </cell>
          <cell r="H83">
            <v>3939.5400031490717</v>
          </cell>
          <cell r="I83">
            <v>4421.5329343778303</v>
          </cell>
          <cell r="J83">
            <v>4988.6395367052055</v>
          </cell>
          <cell r="K83">
            <v>37393.432835820895</v>
          </cell>
          <cell r="L83">
            <v>13320.54794520553</v>
          </cell>
          <cell r="M83">
            <v>773940.35774711939</v>
          </cell>
          <cell r="N83">
            <v>120000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14596</v>
          </cell>
          <cell r="Y83">
            <v>908536.35774711939</v>
          </cell>
          <cell r="Z83">
            <v>0</v>
          </cell>
          <cell r="AC83">
            <v>0</v>
          </cell>
          <cell r="AE83">
            <v>-4</v>
          </cell>
          <cell r="AF83">
            <v>892574.88773524039</v>
          </cell>
          <cell r="AG83">
            <v>15961.470011878991</v>
          </cell>
          <cell r="AH83">
            <v>1.7882499531639923E-2</v>
          </cell>
          <cell r="AJ83">
            <v>4030.3789044115115</v>
          </cell>
          <cell r="AK83">
            <v>4367.9632583996126</v>
          </cell>
        </row>
        <row r="84">
          <cell r="D84">
            <v>2087</v>
          </cell>
          <cell r="E84" t="str">
            <v>Nether Green Junior School</v>
          </cell>
          <cell r="F84">
            <v>374</v>
          </cell>
          <cell r="G84">
            <v>1276412.8486536345</v>
          </cell>
          <cell r="H84">
            <v>11490.325009184797</v>
          </cell>
          <cell r="I84">
            <v>10564.9128287778</v>
          </cell>
          <cell r="J84">
            <v>9841.9283883060307</v>
          </cell>
          <cell r="K84">
            <v>84006.153846153844</v>
          </cell>
          <cell r="L84">
            <v>11550.000000000009</v>
          </cell>
          <cell r="M84">
            <v>1403866.168726057</v>
          </cell>
          <cell r="N84">
            <v>120000</v>
          </cell>
          <cell r="O84">
            <v>0</v>
          </cell>
          <cell r="P84">
            <v>39453.831273942997</v>
          </cell>
          <cell r="Q84">
            <v>39453.831273942997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21083</v>
          </cell>
          <cell r="Y84">
            <v>1584403.0000000005</v>
          </cell>
          <cell r="Z84">
            <v>0</v>
          </cell>
          <cell r="AC84">
            <v>0</v>
          </cell>
          <cell r="AE84">
            <v>-18</v>
          </cell>
          <cell r="AF84">
            <v>1561595.9599999995</v>
          </cell>
          <cell r="AG84">
            <v>22807.040000000969</v>
          </cell>
          <cell r="AH84">
            <v>1.4604955817125049E-2</v>
          </cell>
          <cell r="AJ84">
            <v>3803.7831632653051</v>
          </cell>
          <cell r="AK84">
            <v>4236.3716577540117</v>
          </cell>
        </row>
        <row r="85">
          <cell r="D85">
            <v>2272</v>
          </cell>
          <cell r="E85" t="str">
            <v>Netherthorpe Primary School</v>
          </cell>
          <cell r="F85">
            <v>204</v>
          </cell>
          <cell r="G85">
            <v>696225.19017470977</v>
          </cell>
          <cell r="H85">
            <v>32501.205025979849</v>
          </cell>
          <cell r="I85">
            <v>30789.174529581007</v>
          </cell>
          <cell r="J85">
            <v>51785.172120945324</v>
          </cell>
          <cell r="K85">
            <v>113263.09859154929</v>
          </cell>
          <cell r="L85">
            <v>62190.857142857116</v>
          </cell>
          <cell r="M85">
            <v>986754.69758562243</v>
          </cell>
          <cell r="N85">
            <v>120000</v>
          </cell>
          <cell r="O85">
            <v>8784.0000000000055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19461</v>
          </cell>
          <cell r="Y85">
            <v>1134999.6975856228</v>
          </cell>
          <cell r="Z85">
            <v>0</v>
          </cell>
          <cell r="AC85">
            <v>0</v>
          </cell>
          <cell r="AE85">
            <v>-8</v>
          </cell>
          <cell r="AF85">
            <v>1136587.7451221212</v>
          </cell>
          <cell r="AG85">
            <v>-1588.0475364984013</v>
          </cell>
          <cell r="AH85">
            <v>-1.3972062810933905E-3</v>
          </cell>
          <cell r="AJ85">
            <v>5181.382948689251</v>
          </cell>
          <cell r="AK85">
            <v>5563.724007772661</v>
          </cell>
        </row>
        <row r="86">
          <cell r="D86">
            <v>2309</v>
          </cell>
          <cell r="E86" t="str">
            <v>Nook Lane Junior School</v>
          </cell>
          <cell r="F86">
            <v>250</v>
          </cell>
          <cell r="G86">
            <v>853217.14482194814</v>
          </cell>
          <cell r="H86">
            <v>6565.9000052484516</v>
          </cell>
          <cell r="I86">
            <v>10522.821542607366</v>
          </cell>
          <cell r="J86">
            <v>7656.9816144777687</v>
          </cell>
          <cell r="K86">
            <v>78689.271255060725</v>
          </cell>
          <cell r="L86">
            <v>550</v>
          </cell>
          <cell r="M86">
            <v>957202.11923934252</v>
          </cell>
          <cell r="N86">
            <v>120000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4273</v>
          </cell>
          <cell r="Y86">
            <v>1081475.1192393424</v>
          </cell>
          <cell r="Z86">
            <v>0</v>
          </cell>
          <cell r="AC86">
            <v>0</v>
          </cell>
          <cell r="AE86">
            <v>1</v>
          </cell>
          <cell r="AF86">
            <v>1052362.0941078907</v>
          </cell>
          <cell r="AG86">
            <v>29113.025131451664</v>
          </cell>
          <cell r="AH86">
            <v>2.7664456268858089E-2</v>
          </cell>
          <cell r="AJ86">
            <v>4036.158128947352</v>
          </cell>
          <cell r="AK86">
            <v>4325.9004769573694</v>
          </cell>
        </row>
        <row r="87">
          <cell r="D87">
            <v>2051</v>
          </cell>
          <cell r="E87" t="str">
            <v>Norfolk Community Primary School</v>
          </cell>
          <cell r="F87">
            <v>375</v>
          </cell>
          <cell r="G87">
            <v>1279825.7172329223</v>
          </cell>
          <cell r="H87">
            <v>63032.64005038514</v>
          </cell>
          <cell r="I87">
            <v>57956.093232152482</v>
          </cell>
          <cell r="J87">
            <v>132775.15492498965</v>
          </cell>
          <cell r="K87">
            <v>187794.36860068259</v>
          </cell>
          <cell r="L87">
            <v>30214.9681528662</v>
          </cell>
          <cell r="M87">
            <v>1751598.9421939985</v>
          </cell>
          <cell r="N87">
            <v>120000</v>
          </cell>
          <cell r="O87">
            <v>15750.000000000115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10679</v>
          </cell>
          <cell r="Y87">
            <v>1898027.9421939985</v>
          </cell>
          <cell r="Z87">
            <v>0</v>
          </cell>
          <cell r="AC87">
            <v>0</v>
          </cell>
          <cell r="AE87">
            <v>15</v>
          </cell>
          <cell r="AF87">
            <v>1738454.1510825998</v>
          </cell>
          <cell r="AG87">
            <v>159573.79111139872</v>
          </cell>
          <cell r="AH87">
            <v>9.1790623878131167E-2</v>
          </cell>
          <cell r="AJ87">
            <v>4649.1593085627774</v>
          </cell>
          <cell r="AK87">
            <v>5061.4078458506629</v>
          </cell>
        </row>
        <row r="88">
          <cell r="D88">
            <v>3010</v>
          </cell>
          <cell r="E88" t="str">
            <v>Norton Free Church of England Primary School</v>
          </cell>
          <cell r="F88">
            <v>207</v>
          </cell>
          <cell r="G88">
            <v>706463.79591257311</v>
          </cell>
          <cell r="H88">
            <v>6565.9000052484516</v>
          </cell>
          <cell r="I88">
            <v>6909.2788431059189</v>
          </cell>
          <cell r="J88">
            <v>19401.553919108577</v>
          </cell>
          <cell r="K88">
            <v>56982.821229050285</v>
          </cell>
          <cell r="L88">
            <v>0</v>
          </cell>
          <cell r="M88">
            <v>796323.34990908636</v>
          </cell>
          <cell r="N88">
            <v>120000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4466</v>
          </cell>
          <cell r="Y88">
            <v>920789.34990908636</v>
          </cell>
          <cell r="Z88">
            <v>0</v>
          </cell>
          <cell r="AC88">
            <v>0</v>
          </cell>
          <cell r="AE88">
            <v>0</v>
          </cell>
          <cell r="AF88">
            <v>887362.10269469884</v>
          </cell>
          <cell r="AG88">
            <v>33427.24721438752</v>
          </cell>
          <cell r="AH88">
            <v>3.7670357019842581E-2</v>
          </cell>
          <cell r="AJ88">
            <v>4106.8934429695591</v>
          </cell>
          <cell r="AK88">
            <v>4448.257729029403</v>
          </cell>
        </row>
        <row r="89">
          <cell r="D89">
            <v>2018</v>
          </cell>
          <cell r="E89" t="str">
            <v>Oasis Academy Fir Vale</v>
          </cell>
          <cell r="F89">
            <v>381</v>
          </cell>
          <cell r="G89">
            <v>1300302.928708649</v>
          </cell>
          <cell r="H89">
            <v>79119.095063243833</v>
          </cell>
          <cell r="I89">
            <v>72746.971192441386</v>
          </cell>
          <cell r="J89">
            <v>121089.30242885917</v>
          </cell>
          <cell r="K89">
            <v>356316.7596566524</v>
          </cell>
          <cell r="L89">
            <v>127291.11747850996</v>
          </cell>
          <cell r="M89">
            <v>2056866.1745283557</v>
          </cell>
          <cell r="N89">
            <v>120000</v>
          </cell>
          <cell r="O89">
            <v>17525.99999999996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8015</v>
          </cell>
          <cell r="Y89">
            <v>2202407.1745283557</v>
          </cell>
          <cell r="Z89">
            <v>0</v>
          </cell>
          <cell r="AC89">
            <v>0</v>
          </cell>
          <cell r="AE89">
            <v>14</v>
          </cell>
          <cell r="AF89">
            <v>2060666.5976218977</v>
          </cell>
          <cell r="AG89">
            <v>141740.57690645801</v>
          </cell>
          <cell r="AH89">
            <v>6.8783847455009484E-2</v>
          </cell>
          <cell r="AJ89">
            <v>5435.0153613675684</v>
          </cell>
          <cell r="AK89">
            <v>5780.596258604608</v>
          </cell>
        </row>
        <row r="90">
          <cell r="D90">
            <v>2019</v>
          </cell>
          <cell r="E90" t="str">
            <v>Oasis Academy Watermead</v>
          </cell>
          <cell r="F90">
            <v>350</v>
          </cell>
          <cell r="G90">
            <v>1194504.0027507273</v>
          </cell>
          <cell r="H90">
            <v>52198.905041725164</v>
          </cell>
          <cell r="I90">
            <v>52508.249388536351</v>
          </cell>
          <cell r="J90">
            <v>127206.44102355136</v>
          </cell>
          <cell r="K90">
            <v>146302.90456431534</v>
          </cell>
          <cell r="L90">
            <v>31130.363036303686</v>
          </cell>
          <cell r="M90">
            <v>1603850.8658051593</v>
          </cell>
          <cell r="N90">
            <v>120000</v>
          </cell>
          <cell r="O90">
            <v>7200.0000000000127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73866.844072362743</v>
          </cell>
          <cell r="U90">
            <v>73866.844072362743</v>
          </cell>
          <cell r="V90">
            <v>0</v>
          </cell>
          <cell r="W90">
            <v>0</v>
          </cell>
          <cell r="X90">
            <v>10886</v>
          </cell>
          <cell r="Y90">
            <v>1815803.7098775224</v>
          </cell>
          <cell r="Z90">
            <v>0</v>
          </cell>
          <cell r="AC90">
            <v>3.5168114118278027E-4</v>
          </cell>
          <cell r="AE90">
            <v>11</v>
          </cell>
          <cell r="AF90">
            <v>1730849.875766092</v>
          </cell>
          <cell r="AG90">
            <v>84953.834111430449</v>
          </cell>
          <cell r="AH90">
            <v>4.9082150509343864E-2</v>
          </cell>
          <cell r="AJ90">
            <v>4919.7631229088256</v>
          </cell>
          <cell r="AK90">
            <v>5188.0105996500643</v>
          </cell>
        </row>
        <row r="91">
          <cell r="D91">
            <v>2313</v>
          </cell>
          <cell r="E91" t="str">
            <v>Oughtibridge Primary School</v>
          </cell>
          <cell r="F91">
            <v>421</v>
          </cell>
          <cell r="G91">
            <v>1436817.6718801607</v>
          </cell>
          <cell r="H91">
            <v>10177.145008135094</v>
          </cell>
          <cell r="I91">
            <v>10739.223261767691</v>
          </cell>
          <cell r="J91">
            <v>3797.553507786447</v>
          </cell>
          <cell r="K91">
            <v>62921.323119777153</v>
          </cell>
          <cell r="L91">
            <v>1282.8254847645428</v>
          </cell>
          <cell r="M91">
            <v>1525735.7422623918</v>
          </cell>
          <cell r="N91">
            <v>120000</v>
          </cell>
          <cell r="O91">
            <v>0</v>
          </cell>
          <cell r="P91">
            <v>114044.25773760815</v>
          </cell>
          <cell r="Q91">
            <v>114044.25773760815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7403</v>
          </cell>
          <cell r="Y91">
            <v>1767183</v>
          </cell>
          <cell r="Z91">
            <v>0</v>
          </cell>
          <cell r="AC91">
            <v>0</v>
          </cell>
          <cell r="AE91">
            <v>-2</v>
          </cell>
          <cell r="AF91">
            <v>1669791.2400000002</v>
          </cell>
          <cell r="AG91">
            <v>97391.759999999776</v>
          </cell>
          <cell r="AH91">
            <v>5.8325710224710343E-2</v>
          </cell>
          <cell r="AJ91">
            <v>3767.6170212765965</v>
          </cell>
          <cell r="AK91">
            <v>4197.5843230403798</v>
          </cell>
        </row>
        <row r="92">
          <cell r="D92">
            <v>2093</v>
          </cell>
          <cell r="E92" t="str">
            <v>Owler Brook Primary School</v>
          </cell>
          <cell r="F92">
            <v>413</v>
          </cell>
          <cell r="G92">
            <v>1409514.7232458584</v>
          </cell>
          <cell r="H92">
            <v>70583.425056420892</v>
          </cell>
          <cell r="I92">
            <v>69756.914322505429</v>
          </cell>
          <cell r="J92">
            <v>139213.98037352783</v>
          </cell>
          <cell r="K92">
            <v>249806.00000000003</v>
          </cell>
          <cell r="L92">
            <v>111384.84848484847</v>
          </cell>
          <cell r="M92">
            <v>2050259.8914831611</v>
          </cell>
          <cell r="N92">
            <v>120000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140302.6408841435</v>
          </cell>
          <cell r="W92">
            <v>0</v>
          </cell>
          <cell r="X92">
            <v>10544</v>
          </cell>
          <cell r="Y92">
            <v>2321106.5323673044</v>
          </cell>
          <cell r="Z92">
            <v>0</v>
          </cell>
          <cell r="AC92">
            <v>0</v>
          </cell>
          <cell r="AE92">
            <v>-26</v>
          </cell>
          <cell r="AF92">
            <v>2407051.4351028115</v>
          </cell>
          <cell r="AG92">
            <v>-85944.902735507116</v>
          </cell>
          <cell r="AH92">
            <v>-3.5705469971328709E-2</v>
          </cell>
          <cell r="AJ92">
            <v>5303.1528817831704</v>
          </cell>
          <cell r="AK92">
            <v>5620.1126691702284</v>
          </cell>
        </row>
        <row r="93">
          <cell r="D93">
            <v>3428</v>
          </cell>
          <cell r="E93" t="str">
            <v>Parson Cross Church of England Primary School</v>
          </cell>
          <cell r="F93">
            <v>203</v>
          </cell>
          <cell r="G93">
            <v>692812.32159542188</v>
          </cell>
          <cell r="H93">
            <v>13460.095010759347</v>
          </cell>
          <cell r="I93">
            <v>12677.895394533356</v>
          </cell>
          <cell r="J93">
            <v>59546.567121075066</v>
          </cell>
          <cell r="K93">
            <v>53562.650602409638</v>
          </cell>
          <cell r="L93">
            <v>645.37572254335271</v>
          </cell>
          <cell r="M93">
            <v>832704.90544674266</v>
          </cell>
          <cell r="N93">
            <v>120000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3892</v>
          </cell>
          <cell r="Y93">
            <v>956596.90544674266</v>
          </cell>
          <cell r="Z93">
            <v>0</v>
          </cell>
          <cell r="AC93">
            <v>0</v>
          </cell>
          <cell r="AE93">
            <v>2</v>
          </cell>
          <cell r="AF93">
            <v>922296.6389916531</v>
          </cell>
          <cell r="AG93">
            <v>34300.266455089557</v>
          </cell>
          <cell r="AH93">
            <v>3.7190059038478163E-2</v>
          </cell>
          <cell r="AJ93">
            <v>4408.6604924957865</v>
          </cell>
          <cell r="AK93">
            <v>4712.3000268312444</v>
          </cell>
        </row>
        <row r="94">
          <cell r="D94">
            <v>2332</v>
          </cell>
          <cell r="E94" t="str">
            <v>Phillimore Community Primary School</v>
          </cell>
          <cell r="F94">
            <v>411</v>
          </cell>
          <cell r="G94">
            <v>1402688.9860872829</v>
          </cell>
          <cell r="H94">
            <v>68285.360054583871</v>
          </cell>
          <cell r="I94">
            <v>62785.767668165157</v>
          </cell>
          <cell r="J94">
            <v>143328.64120070171</v>
          </cell>
          <cell r="K94">
            <v>199348.79194630875</v>
          </cell>
          <cell r="L94">
            <v>83554.297994269393</v>
          </cell>
          <cell r="M94">
            <v>1959991.8449513118</v>
          </cell>
          <cell r="N94">
            <v>120000</v>
          </cell>
          <cell r="O94">
            <v>1205.999999999998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4765</v>
          </cell>
          <cell r="Y94">
            <v>2085962.8449513118</v>
          </cell>
          <cell r="Z94">
            <v>0</v>
          </cell>
          <cell r="AC94">
            <v>0</v>
          </cell>
          <cell r="AE94">
            <v>6</v>
          </cell>
          <cell r="AF94">
            <v>1977486.8547686373</v>
          </cell>
          <cell r="AG94">
            <v>108475.99018267449</v>
          </cell>
          <cell r="AH94">
            <v>5.4855479782881286E-2</v>
          </cell>
          <cell r="AJ94">
            <v>4697.9450947373762</v>
          </cell>
          <cell r="AK94">
            <v>5075.3353891759416</v>
          </cell>
        </row>
        <row r="95">
          <cell r="D95">
            <v>3433</v>
          </cell>
          <cell r="E95" t="str">
            <v>Pipworth Community Primary School</v>
          </cell>
          <cell r="F95">
            <v>388</v>
          </cell>
          <cell r="G95">
            <v>1324193.0087636635</v>
          </cell>
          <cell r="H95">
            <v>70911.720056683276</v>
          </cell>
          <cell r="I95">
            <v>71190.348181814741</v>
          </cell>
          <cell r="J95">
            <v>152698.77577235823</v>
          </cell>
          <cell r="K95">
            <v>138843.13725490196</v>
          </cell>
          <cell r="L95">
            <v>31290.322580645228</v>
          </cell>
          <cell r="M95">
            <v>1789127.312610067</v>
          </cell>
          <cell r="N95">
            <v>120000</v>
          </cell>
          <cell r="O95">
            <v>4247.9999999999836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26697</v>
          </cell>
          <cell r="Y95">
            <v>1940072.312610067</v>
          </cell>
          <cell r="Z95">
            <v>0</v>
          </cell>
          <cell r="AC95">
            <v>0</v>
          </cell>
          <cell r="AE95">
            <v>-15</v>
          </cell>
          <cell r="AF95">
            <v>1949641.9968088674</v>
          </cell>
          <cell r="AG95">
            <v>-9569.6841988004744</v>
          </cell>
          <cell r="AH95">
            <v>-4.9084315040730199E-3</v>
          </cell>
          <cell r="AJ95">
            <v>4648.5224166473135</v>
          </cell>
          <cell r="AK95">
            <v>5000.1863727063583</v>
          </cell>
        </row>
        <row r="96">
          <cell r="D96">
            <v>3427</v>
          </cell>
          <cell r="E96" t="str">
            <v>Porter Croft Church of England Primary Academy</v>
          </cell>
          <cell r="F96">
            <v>213</v>
          </cell>
          <cell r="G96">
            <v>726941.0073882998</v>
          </cell>
          <cell r="H96">
            <v>20354.290016270217</v>
          </cell>
          <cell r="I96">
            <v>23881.015202355688</v>
          </cell>
          <cell r="J96">
            <v>53266.295332230744</v>
          </cell>
          <cell r="K96">
            <v>79158.545454545456</v>
          </cell>
          <cell r="L96">
            <v>44414.010989010974</v>
          </cell>
          <cell r="M96">
            <v>948015.16438271292</v>
          </cell>
          <cell r="N96">
            <v>120000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2570</v>
          </cell>
          <cell r="Y96">
            <v>1070585.1643827129</v>
          </cell>
          <cell r="Z96">
            <v>0</v>
          </cell>
          <cell r="AC96">
            <v>0</v>
          </cell>
          <cell r="AE96">
            <v>3</v>
          </cell>
          <cell r="AF96">
            <v>1030994.5205588172</v>
          </cell>
          <cell r="AG96">
            <v>39590.64382389572</v>
          </cell>
          <cell r="AH96">
            <v>3.8400440578905203E-2</v>
          </cell>
          <cell r="AJ96">
            <v>4699.3566555181769</v>
          </cell>
          <cell r="AK96">
            <v>5026.2214290268212</v>
          </cell>
        </row>
        <row r="97">
          <cell r="D97">
            <v>2347</v>
          </cell>
          <cell r="E97" t="str">
            <v>Prince Edward Primary School</v>
          </cell>
          <cell r="F97">
            <v>404</v>
          </cell>
          <cell r="G97">
            <v>1378798.9060322682</v>
          </cell>
          <cell r="H97">
            <v>67957.065054321429</v>
          </cell>
          <cell r="I97">
            <v>71362.911712861824</v>
          </cell>
          <cell r="J97">
            <v>156001.33248890564</v>
          </cell>
          <cell r="K97">
            <v>185119.01538461537</v>
          </cell>
          <cell r="L97">
            <v>30358.720930232517</v>
          </cell>
          <cell r="M97">
            <v>1889597.9516032049</v>
          </cell>
          <cell r="N97">
            <v>120000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48403</v>
          </cell>
          <cell r="Y97">
            <v>2058000.9516032049</v>
          </cell>
          <cell r="Z97">
            <v>0</v>
          </cell>
          <cell r="AC97">
            <v>0</v>
          </cell>
          <cell r="AE97">
            <v>-5</v>
          </cell>
          <cell r="AF97">
            <v>2039006.8306604309</v>
          </cell>
          <cell r="AG97">
            <v>18994.120942773996</v>
          </cell>
          <cell r="AH97">
            <v>9.3153787702721091E-3</v>
          </cell>
          <cell r="AJ97">
            <v>4791.9937458690247</v>
          </cell>
          <cell r="AK97">
            <v>5094.0617613940713</v>
          </cell>
        </row>
        <row r="98">
          <cell r="D98">
            <v>2366</v>
          </cell>
          <cell r="E98" t="str">
            <v>Pye Bank CofE Primary School</v>
          </cell>
          <cell r="F98">
            <v>405</v>
          </cell>
          <cell r="G98">
            <v>1382211.774611556</v>
          </cell>
          <cell r="H98">
            <v>66972.180053534248</v>
          </cell>
          <cell r="I98">
            <v>64546.219253189891</v>
          </cell>
          <cell r="J98">
            <v>139043.8252265394</v>
          </cell>
          <cell r="K98">
            <v>116929.09967845658</v>
          </cell>
          <cell r="L98">
            <v>86554.285714285812</v>
          </cell>
          <cell r="M98">
            <v>1856257.384537562</v>
          </cell>
          <cell r="N98">
            <v>120000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21176.738129494737</v>
          </cell>
          <cell r="U98">
            <v>21176.738129494737</v>
          </cell>
          <cell r="V98">
            <v>0</v>
          </cell>
          <cell r="W98">
            <v>0</v>
          </cell>
          <cell r="X98">
            <v>13433</v>
          </cell>
          <cell r="Y98">
            <v>2010867.1226670567</v>
          </cell>
          <cell r="Z98">
            <v>0</v>
          </cell>
          <cell r="AC98">
            <v>5.1207351498305798E-4</v>
          </cell>
          <cell r="AE98">
            <v>-9</v>
          </cell>
          <cell r="AF98">
            <v>2014975.3930868621</v>
          </cell>
          <cell r="AG98">
            <v>-4108.2704198053107</v>
          </cell>
          <cell r="AH98">
            <v>-2.0388687791921887E-3</v>
          </cell>
          <cell r="AJ98">
            <v>4687.21032146585</v>
          </cell>
          <cell r="AK98">
            <v>4965.1040065853249</v>
          </cell>
        </row>
        <row r="99">
          <cell r="D99">
            <v>2363</v>
          </cell>
          <cell r="E99" t="str">
            <v>Rainbow Forge Primary Academy</v>
          </cell>
          <cell r="F99">
            <v>311</v>
          </cell>
          <cell r="G99">
            <v>1061402.1281585034</v>
          </cell>
          <cell r="H99">
            <v>42021.76003359013</v>
          </cell>
          <cell r="I99">
            <v>38961.938561926851</v>
          </cell>
          <cell r="J99">
            <v>53749.690636175044</v>
          </cell>
          <cell r="K99">
            <v>109279.36567164178</v>
          </cell>
          <cell r="L99">
            <v>5898.2758620689738</v>
          </cell>
          <cell r="M99">
            <v>1311313.1589239058</v>
          </cell>
          <cell r="N99">
            <v>120000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4067</v>
          </cell>
          <cell r="Y99">
            <v>1435380.1589239058</v>
          </cell>
          <cell r="Z99">
            <v>0</v>
          </cell>
          <cell r="AC99">
            <v>0</v>
          </cell>
          <cell r="AE99">
            <v>15</v>
          </cell>
          <cell r="AF99">
            <v>1318734.5203348044</v>
          </cell>
          <cell r="AG99">
            <v>116645.63858910138</v>
          </cell>
          <cell r="AH99">
            <v>8.8452707342101741E-2</v>
          </cell>
          <cell r="AJ99">
            <v>4265.0550784959605</v>
          </cell>
          <cell r="AK99">
            <v>4615.3702859289579</v>
          </cell>
        </row>
        <row r="100">
          <cell r="D100">
            <v>2334</v>
          </cell>
          <cell r="E100" t="str">
            <v>Reignhead Primary School</v>
          </cell>
          <cell r="F100">
            <v>270</v>
          </cell>
          <cell r="G100">
            <v>921474.51640770398</v>
          </cell>
          <cell r="H100">
            <v>26263.600020993781</v>
          </cell>
          <cell r="I100">
            <v>27166.918702571475</v>
          </cell>
          <cell r="J100">
            <v>35430.942197901648</v>
          </cell>
          <cell r="K100">
            <v>98550</v>
          </cell>
          <cell r="L100">
            <v>1879.7468354430432</v>
          </cell>
          <cell r="M100">
            <v>1110765.7241646138</v>
          </cell>
          <cell r="N100">
            <v>120000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31842</v>
          </cell>
          <cell r="Y100">
            <v>1262607.7241646138</v>
          </cell>
          <cell r="Z100">
            <v>0</v>
          </cell>
          <cell r="AC100">
            <v>0</v>
          </cell>
          <cell r="AE100">
            <v>-4</v>
          </cell>
          <cell r="AF100">
            <v>1221952.7966223741</v>
          </cell>
          <cell r="AG100">
            <v>40654.92754223966</v>
          </cell>
          <cell r="AH100">
            <v>3.327045664498237E-2</v>
          </cell>
          <cell r="AJ100">
            <v>4279.8017394977151</v>
          </cell>
          <cell r="AK100">
            <v>4676.3249043133846</v>
          </cell>
        </row>
        <row r="101">
          <cell r="D101">
            <v>2338</v>
          </cell>
          <cell r="E101" t="str">
            <v>Rivelin Primary School</v>
          </cell>
          <cell r="F101">
            <v>342</v>
          </cell>
          <cell r="G101">
            <v>1167201.0541164251</v>
          </cell>
          <cell r="H101">
            <v>21010.88001679509</v>
          </cell>
          <cell r="I101">
            <v>26743.145040358657</v>
          </cell>
          <cell r="J101">
            <v>32851.544856054839</v>
          </cell>
          <cell r="K101">
            <v>93958.064516129016</v>
          </cell>
          <cell r="L101">
            <v>16578.305084745763</v>
          </cell>
          <cell r="M101">
            <v>1358342.9936305087</v>
          </cell>
          <cell r="N101">
            <v>120000</v>
          </cell>
          <cell r="O101">
            <v>4032.0000000000123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23578</v>
          </cell>
          <cell r="Y101">
            <v>1505952.9936305087</v>
          </cell>
          <cell r="Z101">
            <v>0</v>
          </cell>
          <cell r="AC101">
            <v>0</v>
          </cell>
          <cell r="AE101">
            <v>-4</v>
          </cell>
          <cell r="AF101">
            <v>1458316.882812819</v>
          </cell>
          <cell r="AG101">
            <v>47636.110817689681</v>
          </cell>
          <cell r="AH101">
            <v>3.2665130177886019E-2</v>
          </cell>
          <cell r="AJ101">
            <v>4034.908678649766</v>
          </cell>
          <cell r="AK101">
            <v>4403.3713264049957</v>
          </cell>
        </row>
        <row r="102">
          <cell r="D102">
            <v>2306</v>
          </cell>
          <cell r="E102" t="str">
            <v>Royd Nursery and Infant School</v>
          </cell>
          <cell r="F102">
            <v>136</v>
          </cell>
          <cell r="G102">
            <v>464150.12678313983</v>
          </cell>
          <cell r="H102">
            <v>7550.7850060357405</v>
          </cell>
          <cell r="I102">
            <v>7489.2586693575422</v>
          </cell>
          <cell r="J102">
            <v>7042.1027878606128</v>
          </cell>
          <cell r="K102">
            <v>43800</v>
          </cell>
          <cell r="L102">
            <v>1542.2680412371114</v>
          </cell>
          <cell r="M102">
            <v>531574.54128763091</v>
          </cell>
          <cell r="N102">
            <v>120000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14596</v>
          </cell>
          <cell r="Y102">
            <v>666170.54128763091</v>
          </cell>
          <cell r="Z102">
            <v>0</v>
          </cell>
          <cell r="AC102">
            <v>0</v>
          </cell>
          <cell r="AE102">
            <v>-9</v>
          </cell>
          <cell r="AF102">
            <v>674931.87769103155</v>
          </cell>
          <cell r="AG102">
            <v>-8761.3364034006372</v>
          </cell>
          <cell r="AH102">
            <v>-1.2981067709193871E-2</v>
          </cell>
          <cell r="AJ102">
            <v>4474.8226047657354</v>
          </cell>
          <cell r="AK102">
            <v>4898.3128035855216</v>
          </cell>
        </row>
        <row r="103">
          <cell r="D103">
            <v>3401</v>
          </cell>
          <cell r="E103" t="str">
            <v>Sacred Heart School, A Catholic Voluntary Academy</v>
          </cell>
          <cell r="F103">
            <v>207</v>
          </cell>
          <cell r="G103">
            <v>706463.79591257311</v>
          </cell>
          <cell r="H103">
            <v>9192.2600073478461</v>
          </cell>
          <cell r="I103">
            <v>10164.847093498034</v>
          </cell>
          <cell r="J103">
            <v>22116.301946059782</v>
          </cell>
          <cell r="K103">
            <v>55065.50847457628</v>
          </cell>
          <cell r="L103">
            <v>15350.561797752775</v>
          </cell>
          <cell r="M103">
            <v>818353.27523180773</v>
          </cell>
          <cell r="N103">
            <v>120000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3568</v>
          </cell>
          <cell r="Y103">
            <v>941921.27523180773</v>
          </cell>
          <cell r="Z103">
            <v>0</v>
          </cell>
          <cell r="AC103">
            <v>0</v>
          </cell>
          <cell r="AE103">
            <v>-2</v>
          </cell>
          <cell r="AF103">
            <v>921442.37803573813</v>
          </cell>
          <cell r="AG103">
            <v>20478.897196069593</v>
          </cell>
          <cell r="AH103">
            <v>2.2224826732763228E-2</v>
          </cell>
          <cell r="AJ103">
            <v>4228.9352059126222</v>
          </cell>
          <cell r="AK103">
            <v>4550.3443247913419</v>
          </cell>
        </row>
        <row r="104">
          <cell r="D104">
            <v>2369</v>
          </cell>
          <cell r="E104" t="str">
            <v>Sharrow Nursery, Infant and Junior School</v>
          </cell>
          <cell r="F104">
            <v>413</v>
          </cell>
          <cell r="G104">
            <v>1409514.7232458584</v>
          </cell>
          <cell r="H104">
            <v>44319.825035427013</v>
          </cell>
          <cell r="I104">
            <v>43858.389931128644</v>
          </cell>
          <cell r="J104">
            <v>78166.954229009702</v>
          </cell>
          <cell r="K104">
            <v>161206.79810725554</v>
          </cell>
          <cell r="L104">
            <v>92018.271954674201</v>
          </cell>
          <cell r="M104">
            <v>1829084.9625033536</v>
          </cell>
          <cell r="N104">
            <v>120000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51939</v>
          </cell>
          <cell r="Y104">
            <v>2001023.9625033536</v>
          </cell>
          <cell r="Z104">
            <v>0</v>
          </cell>
          <cell r="AC104">
            <v>0</v>
          </cell>
          <cell r="AE104">
            <v>2</v>
          </cell>
          <cell r="AF104">
            <v>1944277.2063920058</v>
          </cell>
          <cell r="AG104">
            <v>56746.756111347815</v>
          </cell>
          <cell r="AH104">
            <v>2.9186556281577122E-2</v>
          </cell>
          <cell r="AJ104">
            <v>4550.7214754063407</v>
          </cell>
          <cell r="AK104">
            <v>4845.0943402018247</v>
          </cell>
        </row>
        <row r="105">
          <cell r="D105">
            <v>2349</v>
          </cell>
          <cell r="E105" t="str">
            <v>Shooter's Grove Primary School</v>
          </cell>
          <cell r="F105">
            <v>365</v>
          </cell>
          <cell r="G105">
            <v>1245697.0314400443</v>
          </cell>
          <cell r="H105">
            <v>28233.370022568299</v>
          </cell>
          <cell r="I105">
            <v>29173.614418942947</v>
          </cell>
          <cell r="J105">
            <v>41483.05140328432</v>
          </cell>
          <cell r="K105">
            <v>102014.94755244756</v>
          </cell>
          <cell r="L105">
            <v>8950.6369426751608</v>
          </cell>
          <cell r="M105">
            <v>1455552.6517799625</v>
          </cell>
          <cell r="N105">
            <v>120000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27405</v>
          </cell>
          <cell r="Y105">
            <v>1602957.6517799625</v>
          </cell>
          <cell r="Z105">
            <v>0</v>
          </cell>
          <cell r="AC105">
            <v>0</v>
          </cell>
          <cell r="AE105">
            <v>8</v>
          </cell>
          <cell r="AF105">
            <v>1507414.6150157375</v>
          </cell>
          <cell r="AG105">
            <v>95543.036764224991</v>
          </cell>
          <cell r="AH105">
            <v>6.3382055482610222E-2</v>
          </cell>
          <cell r="AJ105">
            <v>4042.5699020048673</v>
          </cell>
          <cell r="AK105">
            <v>4391.6647993971574</v>
          </cell>
        </row>
        <row r="106">
          <cell r="D106">
            <v>2360</v>
          </cell>
          <cell r="E106" t="str">
            <v>Shortbrook Primary School</v>
          </cell>
          <cell r="F106">
            <v>91</v>
          </cell>
          <cell r="G106">
            <v>310571.04071518913</v>
          </cell>
          <cell r="H106">
            <v>18712.81501495808</v>
          </cell>
          <cell r="I106">
            <v>17295.153593776984</v>
          </cell>
          <cell r="J106">
            <v>22139.504920649124</v>
          </cell>
          <cell r="K106">
            <v>33682.816901408449</v>
          </cell>
          <cell r="L106">
            <v>2669.3333333333321</v>
          </cell>
          <cell r="M106">
            <v>405070.66447931505</v>
          </cell>
          <cell r="N106">
            <v>120000</v>
          </cell>
          <cell r="O106">
            <v>1385.9999999999982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108779.86786009622</v>
          </cell>
          <cell r="U106">
            <v>108779.86786009622</v>
          </cell>
          <cell r="V106">
            <v>0</v>
          </cell>
          <cell r="W106">
            <v>0</v>
          </cell>
          <cell r="X106">
            <v>13972</v>
          </cell>
          <cell r="Y106">
            <v>649208.53233941132</v>
          </cell>
          <cell r="Z106">
            <v>0</v>
          </cell>
          <cell r="AC106">
            <v>1.7227535136044025E-4</v>
          </cell>
          <cell r="AE106">
            <v>8</v>
          </cell>
          <cell r="AF106">
            <v>594698.48334596085</v>
          </cell>
          <cell r="AG106">
            <v>54510.048993450473</v>
          </cell>
          <cell r="AH106">
            <v>9.1659976475406121E-2</v>
          </cell>
          <cell r="AJ106">
            <v>6896.0957379031433</v>
          </cell>
          <cell r="AK106">
            <v>7134.1596960374873</v>
          </cell>
        </row>
        <row r="107">
          <cell r="D107">
            <v>2009</v>
          </cell>
          <cell r="E107" t="str">
            <v>Southey Green Primary School and Nurseries</v>
          </cell>
          <cell r="F107">
            <v>609</v>
          </cell>
          <cell r="G107">
            <v>2078436.9647862657</v>
          </cell>
          <cell r="H107">
            <v>99801.680079776546</v>
          </cell>
          <cell r="I107">
            <v>103366.41433559287</v>
          </cell>
          <cell r="J107">
            <v>238205.60429645824</v>
          </cell>
          <cell r="K107">
            <v>270824.78571428568</v>
          </cell>
          <cell r="L107">
            <v>21900.576923076929</v>
          </cell>
          <cell r="M107">
            <v>2812536.0261354558</v>
          </cell>
          <cell r="N107">
            <v>120000</v>
          </cell>
          <cell r="O107">
            <v>1426.6853377265318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34308.286</v>
          </cell>
          <cell r="X107">
            <v>10913</v>
          </cell>
          <cell r="Y107">
            <v>2979183.9974731831</v>
          </cell>
          <cell r="Z107">
            <v>0</v>
          </cell>
          <cell r="AC107">
            <v>0</v>
          </cell>
          <cell r="AE107">
            <v>-9</v>
          </cell>
          <cell r="AF107">
            <v>2964624.2842789725</v>
          </cell>
          <cell r="AG107">
            <v>14559.713194210548</v>
          </cell>
          <cell r="AH107">
            <v>4.9111495414170571E-3</v>
          </cell>
          <cell r="AJ107">
            <v>4617.2466735905709</v>
          </cell>
          <cell r="AK107">
            <v>4891.9277462613845</v>
          </cell>
        </row>
        <row r="108">
          <cell r="D108">
            <v>2329</v>
          </cell>
          <cell r="E108" t="str">
            <v>Springfield Primary School</v>
          </cell>
          <cell r="F108">
            <v>206</v>
          </cell>
          <cell r="G108">
            <v>703050.92733328533</v>
          </cell>
          <cell r="H108">
            <v>27905.075022305926</v>
          </cell>
          <cell r="I108">
            <v>25657.645441317509</v>
          </cell>
          <cell r="J108">
            <v>36610.426739525763</v>
          </cell>
          <cell r="K108">
            <v>75189.999999999985</v>
          </cell>
          <cell r="L108">
            <v>75318.749999999971</v>
          </cell>
          <cell r="M108">
            <v>943732.82453643449</v>
          </cell>
          <cell r="N108">
            <v>120000</v>
          </cell>
          <cell r="O108">
            <v>6876.0000000000009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14097</v>
          </cell>
          <cell r="Y108">
            <v>1084705.8245364344</v>
          </cell>
          <cell r="Z108">
            <v>0</v>
          </cell>
          <cell r="AC108">
            <v>0</v>
          </cell>
          <cell r="AE108">
            <v>11</v>
          </cell>
          <cell r="AF108">
            <v>994404.77311904985</v>
          </cell>
          <cell r="AG108">
            <v>90301.051417384529</v>
          </cell>
          <cell r="AH108">
            <v>9.0809149210080986E-2</v>
          </cell>
          <cell r="AJ108">
            <v>4918.6460744566657</v>
          </cell>
          <cell r="AK108">
            <v>5265.5622550312346</v>
          </cell>
        </row>
        <row r="109">
          <cell r="D109">
            <v>5202</v>
          </cell>
          <cell r="E109" t="str">
            <v>St Ann's Catholic Primary School, A Voluntary Academy</v>
          </cell>
          <cell r="F109">
            <v>100</v>
          </cell>
          <cell r="G109">
            <v>341286.85792877927</v>
          </cell>
          <cell r="H109">
            <v>3939.5400031490713</v>
          </cell>
          <cell r="I109">
            <v>4878.4590262754618</v>
          </cell>
          <cell r="J109">
            <v>13473.193911535631</v>
          </cell>
          <cell r="K109">
            <v>31662.650602409634</v>
          </cell>
          <cell r="L109">
            <v>0</v>
          </cell>
          <cell r="M109">
            <v>395240.701472149</v>
          </cell>
          <cell r="N109">
            <v>120000</v>
          </cell>
          <cell r="O109">
            <v>900.0000000000008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4426.7159970338253</v>
          </cell>
          <cell r="U109">
            <v>4426.7159970338253</v>
          </cell>
          <cell r="V109">
            <v>0</v>
          </cell>
          <cell r="W109">
            <v>0</v>
          </cell>
          <cell r="X109">
            <v>2196</v>
          </cell>
          <cell r="Y109">
            <v>522763.41746918292</v>
          </cell>
          <cell r="Z109">
            <v>0</v>
          </cell>
          <cell r="AC109">
            <v>1.5762122347950935E-4</v>
          </cell>
          <cell r="AE109">
            <v>3</v>
          </cell>
          <cell r="AF109">
            <v>503127.75975011708</v>
          </cell>
          <cell r="AG109">
            <v>19635.657719065843</v>
          </cell>
          <cell r="AH109">
            <v>3.9027180151653865E-2</v>
          </cell>
          <cell r="AJ109">
            <v>5001.4408221661552</v>
          </cell>
          <cell r="AK109">
            <v>5227.6341746918297</v>
          </cell>
        </row>
        <row r="110">
          <cell r="D110">
            <v>3402</v>
          </cell>
          <cell r="E110" t="str">
            <v>St Catherine's Catholic Primary School (Hallam)</v>
          </cell>
          <cell r="F110">
            <v>424</v>
          </cell>
          <cell r="G110">
            <v>1447056.277618024</v>
          </cell>
          <cell r="H110">
            <v>41036.875032802833</v>
          </cell>
          <cell r="I110">
            <v>42459.934022765738</v>
          </cell>
          <cell r="J110">
            <v>123865.21268268835</v>
          </cell>
          <cell r="K110">
            <v>126263.1161473088</v>
          </cell>
          <cell r="L110">
            <v>82685.872576177382</v>
          </cell>
          <cell r="M110">
            <v>1863367.2880797673</v>
          </cell>
          <cell r="N110">
            <v>120000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8583</v>
          </cell>
          <cell r="Y110">
            <v>1991950.2880797673</v>
          </cell>
          <cell r="Z110">
            <v>0</v>
          </cell>
          <cell r="AC110">
            <v>0</v>
          </cell>
          <cell r="AE110">
            <v>1</v>
          </cell>
          <cell r="AF110">
            <v>1931154.1851386831</v>
          </cell>
          <cell r="AG110">
            <v>60796.102941084187</v>
          </cell>
          <cell r="AH110">
            <v>3.1481744652469681E-2</v>
          </cell>
          <cell r="AJ110">
            <v>4385.4963242049243</v>
          </cell>
          <cell r="AK110">
            <v>4697.9959624522817</v>
          </cell>
        </row>
        <row r="111">
          <cell r="D111">
            <v>2017</v>
          </cell>
          <cell r="E111" t="str">
            <v>St John Fisher Primary, A Catholic Voluntary Academy</v>
          </cell>
          <cell r="F111">
            <v>215</v>
          </cell>
          <cell r="G111">
            <v>733766.74454687547</v>
          </cell>
          <cell r="H111">
            <v>10505.440008397554</v>
          </cell>
          <cell r="I111">
            <v>10263.058176527002</v>
          </cell>
          <cell r="J111">
            <v>27746.890446403035</v>
          </cell>
          <cell r="K111">
            <v>64323.770491803283</v>
          </cell>
          <cell r="L111">
            <v>5113.5135135135079</v>
          </cell>
          <cell r="M111">
            <v>851719.41718351992</v>
          </cell>
          <cell r="N111">
            <v>120000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3169</v>
          </cell>
          <cell r="Y111">
            <v>974888.41718351992</v>
          </cell>
          <cell r="Z111">
            <v>0</v>
          </cell>
          <cell r="AC111">
            <v>0</v>
          </cell>
          <cell r="AE111">
            <v>1</v>
          </cell>
          <cell r="AF111">
            <v>934668.36303085811</v>
          </cell>
          <cell r="AG111">
            <v>40220.054152661818</v>
          </cell>
          <cell r="AH111">
            <v>4.3031363576102932E-2</v>
          </cell>
          <cell r="AJ111">
            <v>4187.7291730413936</v>
          </cell>
          <cell r="AK111">
            <v>4534.3647310861388</v>
          </cell>
        </row>
        <row r="112">
          <cell r="D112">
            <v>5203</v>
          </cell>
          <cell r="E112" t="str">
            <v>St Joseph's Primary School</v>
          </cell>
          <cell r="F112">
            <v>199</v>
          </cell>
          <cell r="G112">
            <v>679160.84727827075</v>
          </cell>
          <cell r="H112">
            <v>7879.0800062981507</v>
          </cell>
          <cell r="I112">
            <v>7281.1000967161262</v>
          </cell>
          <cell r="J112">
            <v>24339.92034420358</v>
          </cell>
          <cell r="K112">
            <v>82520.236686390548</v>
          </cell>
          <cell r="L112">
            <v>14081.286549707609</v>
          </cell>
          <cell r="M112">
            <v>815262.47096158681</v>
          </cell>
          <cell r="N112">
            <v>120000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2969</v>
          </cell>
          <cell r="Y112">
            <v>938231.47096158681</v>
          </cell>
          <cell r="Z112">
            <v>0</v>
          </cell>
          <cell r="AC112">
            <v>0</v>
          </cell>
          <cell r="AE112">
            <v>0</v>
          </cell>
          <cell r="AF112">
            <v>901873.41821846191</v>
          </cell>
          <cell r="AG112">
            <v>36358.052743124892</v>
          </cell>
          <cell r="AH112">
            <v>4.0313919901249197E-2</v>
          </cell>
          <cell r="AJ112">
            <v>4352.1472272284518</v>
          </cell>
          <cell r="AK112">
            <v>4714.7310098572198</v>
          </cell>
        </row>
        <row r="113">
          <cell r="D113">
            <v>3406</v>
          </cell>
          <cell r="E113" t="str">
            <v>St Marie's School, A Catholic Voluntary Academy</v>
          </cell>
          <cell r="F113">
            <v>245</v>
          </cell>
          <cell r="G113">
            <v>836152.80192550924</v>
          </cell>
          <cell r="H113">
            <v>5581.0150044611828</v>
          </cell>
          <cell r="I113">
            <v>5131.5290882634999</v>
          </cell>
          <cell r="J113">
            <v>13345.577551294333</v>
          </cell>
          <cell r="K113">
            <v>51037.682926829271</v>
          </cell>
          <cell r="L113">
            <v>15668.60465116281</v>
          </cell>
          <cell r="M113">
            <v>926917.21114752046</v>
          </cell>
          <cell r="N113">
            <v>120000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4790</v>
          </cell>
          <cell r="Y113">
            <v>1051707.2111475205</v>
          </cell>
          <cell r="Z113">
            <v>0</v>
          </cell>
          <cell r="AC113">
            <v>0</v>
          </cell>
          <cell r="AE113">
            <v>2</v>
          </cell>
          <cell r="AF113">
            <v>1005829.8261642654</v>
          </cell>
          <cell r="AG113">
            <v>45877.384983255062</v>
          </cell>
          <cell r="AH113">
            <v>4.5611477995446396E-2</v>
          </cell>
          <cell r="AJ113">
            <v>3959.3373916224914</v>
          </cell>
          <cell r="AK113">
            <v>4292.6824944796754</v>
          </cell>
        </row>
        <row r="114">
          <cell r="D114">
            <v>2020</v>
          </cell>
          <cell r="E114" t="str">
            <v>St Mary's Church of England Primary School</v>
          </cell>
          <cell r="F114">
            <v>191</v>
          </cell>
          <cell r="G114">
            <v>651857.89864396839</v>
          </cell>
          <cell r="H114">
            <v>16086.455012858703</v>
          </cell>
          <cell r="I114">
            <v>17387.786238383047</v>
          </cell>
          <cell r="J114">
            <v>27499.392050783554</v>
          </cell>
          <cell r="K114">
            <v>46110.708661417317</v>
          </cell>
          <cell r="L114">
            <v>35446.319018404953</v>
          </cell>
          <cell r="M114">
            <v>794388.55962581595</v>
          </cell>
          <cell r="N114">
            <v>120000</v>
          </cell>
          <cell r="O114">
            <v>12186.000000000011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2395</v>
          </cell>
          <cell r="Y114">
            <v>928969.55962581595</v>
          </cell>
          <cell r="Z114">
            <v>0</v>
          </cell>
          <cell r="AC114">
            <v>0</v>
          </cell>
          <cell r="AE114">
            <v>4</v>
          </cell>
          <cell r="AF114">
            <v>890468.05542233912</v>
          </cell>
          <cell r="AG114">
            <v>38501.504203476827</v>
          </cell>
          <cell r="AH114">
            <v>4.3237378330451159E-2</v>
          </cell>
          <cell r="AJ114">
            <v>4562.649891563311</v>
          </cell>
          <cell r="AK114">
            <v>4863.7149718629107</v>
          </cell>
        </row>
        <row r="115">
          <cell r="D115">
            <v>3423</v>
          </cell>
          <cell r="E115" t="str">
            <v>St Mary's Primary School, A Catholic Voluntary Academy</v>
          </cell>
          <cell r="F115">
            <v>188</v>
          </cell>
          <cell r="G115">
            <v>641619.29290610505</v>
          </cell>
          <cell r="H115">
            <v>4924.4250039363387</v>
          </cell>
          <cell r="I115">
            <v>5348.0426346423428</v>
          </cell>
          <cell r="J115">
            <v>20078.307344630583</v>
          </cell>
          <cell r="K115">
            <v>50778.8</v>
          </cell>
          <cell r="L115">
            <v>4581.0126582278453</v>
          </cell>
          <cell r="M115">
            <v>727329.88054754212</v>
          </cell>
          <cell r="N115">
            <v>120000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3443</v>
          </cell>
          <cell r="Y115">
            <v>850772.88054754212</v>
          </cell>
          <cell r="Z115">
            <v>0</v>
          </cell>
          <cell r="AC115">
            <v>0</v>
          </cell>
          <cell r="AE115">
            <v>-3</v>
          </cell>
          <cell r="AF115">
            <v>839510.85482086532</v>
          </cell>
          <cell r="AG115">
            <v>11262.025726676802</v>
          </cell>
          <cell r="AH115">
            <v>1.3414985240518292E-2</v>
          </cell>
          <cell r="AJ115">
            <v>4155.3747671249494</v>
          </cell>
          <cell r="AK115">
            <v>4525.3876624869263</v>
          </cell>
        </row>
        <row r="116">
          <cell r="D116">
            <v>5207</v>
          </cell>
          <cell r="E116" t="str">
            <v>St Patrick's Catholic Voluntary Academy</v>
          </cell>
          <cell r="F116">
            <v>280</v>
          </cell>
          <cell r="G116">
            <v>955603.20220058202</v>
          </cell>
          <cell r="H116">
            <v>19369.40501548296</v>
          </cell>
          <cell r="I116">
            <v>21355.410984860457</v>
          </cell>
          <cell r="J116">
            <v>88921.532951162488</v>
          </cell>
          <cell r="K116">
            <v>83145.762711864401</v>
          </cell>
          <cell r="L116">
            <v>25882.352941176425</v>
          </cell>
          <cell r="M116">
            <v>1194277.6668051288</v>
          </cell>
          <cell r="N116">
            <v>120000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3992</v>
          </cell>
          <cell r="Y116">
            <v>1318269.6668051288</v>
          </cell>
          <cell r="Z116">
            <v>0</v>
          </cell>
          <cell r="AC116">
            <v>0</v>
          </cell>
          <cell r="AE116">
            <v>0</v>
          </cell>
          <cell r="AF116">
            <v>1272059.3791462786</v>
          </cell>
          <cell r="AG116">
            <v>46210.287658850197</v>
          </cell>
          <cell r="AH116">
            <v>3.6327146685450687E-2</v>
          </cell>
          <cell r="AJ116">
            <v>4363.1892112367095</v>
          </cell>
          <cell r="AK116">
            <v>4708.1059528754604</v>
          </cell>
        </row>
        <row r="117">
          <cell r="D117">
            <v>5208</v>
          </cell>
          <cell r="E117" t="str">
            <v>St Theresa's Catholic Primary School</v>
          </cell>
          <cell r="F117">
            <v>207</v>
          </cell>
          <cell r="G117">
            <v>706463.79591257311</v>
          </cell>
          <cell r="H117">
            <v>19041.110015220522</v>
          </cell>
          <cell r="I117">
            <v>21617.657109771331</v>
          </cell>
          <cell r="J117">
            <v>70649.190462067942</v>
          </cell>
          <cell r="K117">
            <v>73444.525139664795</v>
          </cell>
          <cell r="L117">
            <v>21226.271186440714</v>
          </cell>
          <cell r="M117">
            <v>912442.54982573842</v>
          </cell>
          <cell r="N117">
            <v>120000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3244</v>
          </cell>
          <cell r="Y117">
            <v>1035686.5498257384</v>
          </cell>
          <cell r="Z117">
            <v>0</v>
          </cell>
          <cell r="AC117">
            <v>0</v>
          </cell>
          <cell r="AE117">
            <v>-3</v>
          </cell>
          <cell r="AF117">
            <v>1014728.6612700584</v>
          </cell>
          <cell r="AG117">
            <v>20957.888555680052</v>
          </cell>
          <cell r="AH117">
            <v>2.0653687390133107E-2</v>
          </cell>
          <cell r="AJ117">
            <v>4647.1435298574206</v>
          </cell>
          <cell r="AK117">
            <v>5003.3166658248228</v>
          </cell>
        </row>
        <row r="118">
          <cell r="D118">
            <v>3424</v>
          </cell>
          <cell r="E118" t="str">
            <v>St Thomas More Catholic Primary, A Voluntary Academy</v>
          </cell>
          <cell r="F118">
            <v>211</v>
          </cell>
          <cell r="G118">
            <v>720115.27022972424</v>
          </cell>
          <cell r="H118">
            <v>11490.325009184802</v>
          </cell>
          <cell r="I118">
            <v>10918.513992843013</v>
          </cell>
          <cell r="J118">
            <v>48633.434739228534</v>
          </cell>
          <cell r="K118">
            <v>50059.75</v>
          </cell>
          <cell r="L118">
            <v>8976.2430939226469</v>
          </cell>
          <cell r="M118">
            <v>850193.53706490318</v>
          </cell>
          <cell r="N118">
            <v>120000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2745</v>
          </cell>
          <cell r="Y118">
            <v>972938.53706490318</v>
          </cell>
          <cell r="Z118">
            <v>0</v>
          </cell>
          <cell r="AC118">
            <v>0</v>
          </cell>
          <cell r="AE118">
            <v>4</v>
          </cell>
          <cell r="AF118">
            <v>918899.91656308807</v>
          </cell>
          <cell r="AG118">
            <v>54038.620501815109</v>
          </cell>
          <cell r="AH118">
            <v>5.8807950167122501E-2</v>
          </cell>
          <cell r="AJ118">
            <v>4259.2500317057393</v>
          </cell>
          <cell r="AK118">
            <v>4611.0831140516739</v>
          </cell>
        </row>
        <row r="119">
          <cell r="D119">
            <v>3414</v>
          </cell>
          <cell r="E119" t="str">
            <v>St Thomas of Canterbury School, a Catholic Voluntary Academy</v>
          </cell>
          <cell r="F119">
            <v>207</v>
          </cell>
          <cell r="G119">
            <v>706463.79591257311</v>
          </cell>
          <cell r="H119">
            <v>7222.4900057732993</v>
          </cell>
          <cell r="I119">
            <v>6640.8023495174739</v>
          </cell>
          <cell r="J119">
            <v>18485.036422830181</v>
          </cell>
          <cell r="K119">
            <v>33675.942857142858</v>
          </cell>
          <cell r="L119">
            <v>6432.2033898305044</v>
          </cell>
          <cell r="M119">
            <v>778920.27093766746</v>
          </cell>
          <cell r="N119">
            <v>120000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3668</v>
          </cell>
          <cell r="Y119">
            <v>902588.27093766746</v>
          </cell>
          <cell r="Z119">
            <v>0</v>
          </cell>
          <cell r="AC119">
            <v>0</v>
          </cell>
          <cell r="AE119">
            <v>0</v>
          </cell>
          <cell r="AF119">
            <v>880465.64006500808</v>
          </cell>
          <cell r="AG119">
            <v>22122.630872659385</v>
          </cell>
          <cell r="AH119">
            <v>2.512605815148674E-2</v>
          </cell>
          <cell r="AJ119">
            <v>3986.1883785749183</v>
          </cell>
          <cell r="AK119">
            <v>4360.3298112930797</v>
          </cell>
        </row>
        <row r="120">
          <cell r="D120">
            <v>3412</v>
          </cell>
          <cell r="E120" t="str">
            <v>St Wilfrid's Catholic Primary School</v>
          </cell>
          <cell r="F120">
            <v>312</v>
          </cell>
          <cell r="G120">
            <v>1064814.9967377912</v>
          </cell>
          <cell r="H120">
            <v>3282.9500026242208</v>
          </cell>
          <cell r="I120">
            <v>3018.546522507937</v>
          </cell>
          <cell r="J120">
            <v>8670.1781715450179</v>
          </cell>
          <cell r="K120">
            <v>24587.727272727276</v>
          </cell>
          <cell r="L120">
            <v>3870.6766917293216</v>
          </cell>
          <cell r="M120">
            <v>1108245.075398925</v>
          </cell>
          <cell r="N120">
            <v>120000</v>
          </cell>
          <cell r="O120">
            <v>0</v>
          </cell>
          <cell r="P120">
            <v>75914.924601075021</v>
          </cell>
          <cell r="Q120">
            <v>75914.924601075021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3942</v>
          </cell>
          <cell r="Y120">
            <v>1308102.0000000005</v>
          </cell>
          <cell r="Z120">
            <v>0</v>
          </cell>
          <cell r="AC120">
            <v>0</v>
          </cell>
          <cell r="AE120">
            <v>2</v>
          </cell>
          <cell r="AF120">
            <v>1222204.8</v>
          </cell>
          <cell r="AG120">
            <v>85897.200000000419</v>
          </cell>
          <cell r="AH120">
            <v>7.0280529089724098E-2</v>
          </cell>
          <cell r="AJ120">
            <v>3762.7161290322579</v>
          </cell>
          <cell r="AK120">
            <v>4192.6346153846171</v>
          </cell>
        </row>
        <row r="121">
          <cell r="D121">
            <v>2294</v>
          </cell>
          <cell r="E121" t="str">
            <v>Stannington Infant School</v>
          </cell>
          <cell r="F121">
            <v>181</v>
          </cell>
          <cell r="G121">
            <v>617729.21285109047</v>
          </cell>
          <cell r="H121">
            <v>6894.1950055108864</v>
          </cell>
          <cell r="I121">
            <v>6338.947697266688</v>
          </cell>
          <cell r="J121">
            <v>6450.4269358327892</v>
          </cell>
          <cell r="K121">
            <v>40310.847457627126</v>
          </cell>
          <cell r="L121">
            <v>2488.75</v>
          </cell>
          <cell r="M121">
            <v>680212.37994732801</v>
          </cell>
          <cell r="N121">
            <v>120000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2014</v>
          </cell>
          <cell r="Y121">
            <v>802226.37994732801</v>
          </cell>
          <cell r="Z121">
            <v>0</v>
          </cell>
          <cell r="AC121">
            <v>0</v>
          </cell>
          <cell r="AE121">
            <v>0</v>
          </cell>
          <cell r="AF121">
            <v>768548.96591953293</v>
          </cell>
          <cell r="AG121">
            <v>33677.414027795079</v>
          </cell>
          <cell r="AH121">
            <v>4.3819477380340532E-2</v>
          </cell>
          <cell r="AJ121">
            <v>4066.2468835333311</v>
          </cell>
          <cell r="AK121">
            <v>4432.189944460376</v>
          </cell>
        </row>
        <row r="122">
          <cell r="D122">
            <v>2303</v>
          </cell>
          <cell r="E122" t="str">
            <v>Stocksbridge Junior School</v>
          </cell>
          <cell r="F122">
            <v>333</v>
          </cell>
          <cell r="G122">
            <v>1136485.2369028351</v>
          </cell>
          <cell r="H122">
            <v>27248.485021781049</v>
          </cell>
          <cell r="I122">
            <v>27954.598593947809</v>
          </cell>
          <cell r="J122">
            <v>41452.114103831889</v>
          </cell>
          <cell r="K122">
            <v>129990.7250755287</v>
          </cell>
          <cell r="L122">
            <v>1650.0000000000002</v>
          </cell>
          <cell r="M122">
            <v>1364781.1596979243</v>
          </cell>
          <cell r="N122">
            <v>120000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20584</v>
          </cell>
          <cell r="Y122">
            <v>1505365.1596979243</v>
          </cell>
          <cell r="Z122">
            <v>0</v>
          </cell>
          <cell r="AC122">
            <v>0</v>
          </cell>
          <cell r="AE122">
            <v>-3</v>
          </cell>
          <cell r="AF122">
            <v>1454064.6845220102</v>
          </cell>
          <cell r="AG122">
            <v>51300.475175914122</v>
          </cell>
          <cell r="AH122">
            <v>3.5280738004291712E-2</v>
          </cell>
          <cell r="AJ122">
            <v>4147.6934658393166</v>
          </cell>
          <cell r="AK122">
            <v>4520.6160951889615</v>
          </cell>
        </row>
        <row r="123">
          <cell r="D123">
            <v>2302</v>
          </cell>
          <cell r="E123" t="str">
            <v>Stocksbridge Nursery Infant School</v>
          </cell>
          <cell r="F123">
            <v>188</v>
          </cell>
          <cell r="G123">
            <v>641619.29290610505</v>
          </cell>
          <cell r="H123">
            <v>13131.800010496934</v>
          </cell>
          <cell r="I123">
            <v>12074.186090031795</v>
          </cell>
          <cell r="J123">
            <v>23748.244492175712</v>
          </cell>
          <cell r="K123">
            <v>66601.764705882364</v>
          </cell>
          <cell r="L123">
            <v>2501.6129032258091</v>
          </cell>
          <cell r="M123">
            <v>759676.90110791777</v>
          </cell>
          <cell r="N123">
            <v>120000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16342</v>
          </cell>
          <cell r="Y123">
            <v>896018.90110791777</v>
          </cell>
          <cell r="Z123">
            <v>0</v>
          </cell>
          <cell r="AC123">
            <v>0</v>
          </cell>
          <cell r="AE123">
            <v>-20</v>
          </cell>
          <cell r="AF123">
            <v>913330.71869070106</v>
          </cell>
          <cell r="AG123">
            <v>-17311.817582783289</v>
          </cell>
          <cell r="AH123">
            <v>-1.8954599060897158E-2</v>
          </cell>
          <cell r="AJ123">
            <v>4211.1330706283707</v>
          </cell>
          <cell r="AK123">
            <v>4766.0579846165838</v>
          </cell>
        </row>
        <row r="124">
          <cell r="D124">
            <v>2350</v>
          </cell>
          <cell r="E124" t="str">
            <v>Stradbroke Primary School</v>
          </cell>
          <cell r="F124">
            <v>417</v>
          </cell>
          <cell r="G124">
            <v>1423166.1975630096</v>
          </cell>
          <cell r="H124">
            <v>59421.395047498489</v>
          </cell>
          <cell r="I124">
            <v>56415.543464761678</v>
          </cell>
          <cell r="J124">
            <v>116045.81024608521</v>
          </cell>
          <cell r="K124">
            <v>187263.45505617978</v>
          </cell>
          <cell r="L124">
            <v>8375.1404494382095</v>
          </cell>
          <cell r="M124">
            <v>1850687.541826973</v>
          </cell>
          <cell r="N124">
            <v>120000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29754</v>
          </cell>
          <cell r="Y124">
            <v>2000441.541826973</v>
          </cell>
          <cell r="Z124">
            <v>0</v>
          </cell>
          <cell r="AC124">
            <v>0</v>
          </cell>
          <cell r="AE124">
            <v>6</v>
          </cell>
          <cell r="AF124">
            <v>1895977.4599529933</v>
          </cell>
          <cell r="AG124">
            <v>104464.08187397965</v>
          </cell>
          <cell r="AH124">
            <v>5.5097744609563876E-2</v>
          </cell>
          <cell r="AJ124">
            <v>4433.2038441678669</v>
          </cell>
          <cell r="AK124">
            <v>4797.2219228464583</v>
          </cell>
        </row>
        <row r="125">
          <cell r="D125">
            <v>2230</v>
          </cell>
          <cell r="E125" t="str">
            <v>Tinsley Meadows Primary School</v>
          </cell>
          <cell r="F125">
            <v>536</v>
          </cell>
          <cell r="G125">
            <v>1829297.5584982568</v>
          </cell>
          <cell r="H125">
            <v>65002.410051959698</v>
          </cell>
          <cell r="I125">
            <v>59767.221145657262</v>
          </cell>
          <cell r="J125">
            <v>127091.64051189163</v>
          </cell>
          <cell r="K125">
            <v>193638.56777493606</v>
          </cell>
          <cell r="L125">
            <v>132628.57142857154</v>
          </cell>
          <cell r="M125">
            <v>2407425.969411273</v>
          </cell>
          <cell r="N125">
            <v>120000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2720</v>
          </cell>
          <cell r="Y125">
            <v>2530145.969411273</v>
          </cell>
          <cell r="Z125">
            <v>0</v>
          </cell>
          <cell r="AC125">
            <v>0</v>
          </cell>
          <cell r="AE125">
            <v>8</v>
          </cell>
          <cell r="AF125">
            <v>2445492.1324643348</v>
          </cell>
          <cell r="AG125">
            <v>84653.836946938187</v>
          </cell>
          <cell r="AH125">
            <v>3.4616278589958943E-2</v>
          </cell>
          <cell r="AJ125">
            <v>4423.6457054248758</v>
          </cell>
          <cell r="AK125">
            <v>4720.4215847225241</v>
          </cell>
        </row>
        <row r="126">
          <cell r="D126">
            <v>5206</v>
          </cell>
          <cell r="E126" t="str">
            <v>Totley All Saints Church of England Voluntary Aided Primary School</v>
          </cell>
          <cell r="F126">
            <v>213</v>
          </cell>
          <cell r="G126">
            <v>726941.0073882998</v>
          </cell>
          <cell r="H126">
            <v>3282.9500026242235</v>
          </cell>
          <cell r="I126">
            <v>5131.5290882635009</v>
          </cell>
          <cell r="J126">
            <v>1666.7470079999575</v>
          </cell>
          <cell r="K126">
            <v>49312.542857142857</v>
          </cell>
          <cell r="L126">
            <v>5121.3114754098342</v>
          </cell>
          <cell r="M126">
            <v>791456.08781974006</v>
          </cell>
          <cell r="N126">
            <v>120000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3194</v>
          </cell>
          <cell r="Y126">
            <v>914650.08781974006</v>
          </cell>
          <cell r="Z126">
            <v>0</v>
          </cell>
          <cell r="AC126">
            <v>0</v>
          </cell>
          <cell r="AE126">
            <v>1</v>
          </cell>
          <cell r="AF126">
            <v>873109.39392027352</v>
          </cell>
          <cell r="AG126">
            <v>41540.69389946654</v>
          </cell>
          <cell r="AH126">
            <v>4.7577879918286339E-2</v>
          </cell>
          <cell r="AJ126">
            <v>3938.5605373597805</v>
          </cell>
          <cell r="AK126">
            <v>4294.1318676983101</v>
          </cell>
        </row>
        <row r="127">
          <cell r="D127">
            <v>2203</v>
          </cell>
          <cell r="E127" t="str">
            <v>Totley Primary School</v>
          </cell>
          <cell r="F127">
            <v>366</v>
          </cell>
          <cell r="G127">
            <v>1249109.9000193321</v>
          </cell>
          <cell r="H127">
            <v>10833.735008659944</v>
          </cell>
          <cell r="I127">
            <v>12093.833434261109</v>
          </cell>
          <cell r="J127">
            <v>2076.6662257447279</v>
          </cell>
          <cell r="K127">
            <v>63072.000000000007</v>
          </cell>
          <cell r="L127">
            <v>13905.592105263167</v>
          </cell>
          <cell r="M127">
            <v>1351091.726793261</v>
          </cell>
          <cell r="N127">
            <v>120000</v>
          </cell>
          <cell r="O127">
            <v>0</v>
          </cell>
          <cell r="P127">
            <v>58788.273206738966</v>
          </cell>
          <cell r="Q127">
            <v>58788.273206738966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3318</v>
          </cell>
          <cell r="Y127">
            <v>1533197.9999999995</v>
          </cell>
          <cell r="Z127">
            <v>0</v>
          </cell>
          <cell r="AC127">
            <v>0</v>
          </cell>
          <cell r="AE127">
            <v>27</v>
          </cell>
          <cell r="AF127">
            <v>1335547.32</v>
          </cell>
          <cell r="AG127">
            <v>197650.67999999947</v>
          </cell>
          <cell r="AH127">
            <v>0.14799227031506412</v>
          </cell>
          <cell r="AJ127">
            <v>3759.787610619469</v>
          </cell>
          <cell r="AK127">
            <v>4189.0655737704901</v>
          </cell>
        </row>
        <row r="128">
          <cell r="D128">
            <v>2034</v>
          </cell>
          <cell r="E128" t="str">
            <v>Valley Park Community School</v>
          </cell>
          <cell r="F128">
            <v>390</v>
          </cell>
          <cell r="G128">
            <v>1331018.7459222393</v>
          </cell>
          <cell r="H128">
            <v>75179.555060094746</v>
          </cell>
          <cell r="I128">
            <v>74251.362707297783</v>
          </cell>
          <cell r="J128">
            <v>149001.76848779214</v>
          </cell>
          <cell r="K128">
            <v>163610.06493506493</v>
          </cell>
          <cell r="L128">
            <v>20737.160120845914</v>
          </cell>
          <cell r="M128">
            <v>1813798.6572333348</v>
          </cell>
          <cell r="N128">
            <v>120000</v>
          </cell>
          <cell r="O128">
            <v>4204.7814910025827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10283</v>
          </cell>
          <cell r="Y128">
            <v>1948286.4387243374</v>
          </cell>
          <cell r="Z128">
            <v>0</v>
          </cell>
          <cell r="AC128">
            <v>0</v>
          </cell>
          <cell r="AE128">
            <v>18</v>
          </cell>
          <cell r="AF128">
            <v>1818951.265323051</v>
          </cell>
          <cell r="AG128">
            <v>129335.17340128636</v>
          </cell>
          <cell r="AH128">
            <v>7.1104254339830295E-2</v>
          </cell>
          <cell r="AJ128">
            <v>4709.7739390404595</v>
          </cell>
          <cell r="AK128">
            <v>4995.6062531393263</v>
          </cell>
        </row>
        <row r="129">
          <cell r="D129">
            <v>2351</v>
          </cell>
          <cell r="E129" t="str">
            <v>Walkley Primary School</v>
          </cell>
          <cell r="F129">
            <v>343</v>
          </cell>
          <cell r="G129">
            <v>1170613.9226957129</v>
          </cell>
          <cell r="H129">
            <v>28889.960023093146</v>
          </cell>
          <cell r="I129">
            <v>30605.024207138697</v>
          </cell>
          <cell r="J129">
            <v>47968.282801001165</v>
          </cell>
          <cell r="K129">
            <v>112401.35036496352</v>
          </cell>
          <cell r="L129">
            <v>19788.461538461557</v>
          </cell>
          <cell r="M129">
            <v>1410267.0016303707</v>
          </cell>
          <cell r="N129">
            <v>120000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54054.003262637401</v>
          </cell>
          <cell r="U129">
            <v>54054.003262637401</v>
          </cell>
          <cell r="V129">
            <v>0</v>
          </cell>
          <cell r="W129">
            <v>0</v>
          </cell>
          <cell r="X129">
            <v>22954</v>
          </cell>
          <cell r="Y129">
            <v>1607275.0048930077</v>
          </cell>
          <cell r="Z129">
            <v>0</v>
          </cell>
          <cell r="AC129">
            <v>2.12143175303936E-4</v>
          </cell>
          <cell r="AE129">
            <v>18</v>
          </cell>
          <cell r="AF129">
            <v>1503224.7557029715</v>
          </cell>
          <cell r="AG129">
            <v>104050.24919003621</v>
          </cell>
          <cell r="AH129">
            <v>6.9218025312108369E-2</v>
          </cell>
          <cell r="AJ129">
            <v>4432.7879603168358</v>
          </cell>
          <cell r="AK129">
            <v>4685.9329588717428</v>
          </cell>
        </row>
        <row r="130">
          <cell r="D130">
            <v>3432</v>
          </cell>
          <cell r="E130" t="str">
            <v>Watercliffe Meadow Community Primary School</v>
          </cell>
          <cell r="F130">
            <v>414</v>
          </cell>
          <cell r="G130">
            <v>1412927.5918251462</v>
          </cell>
          <cell r="H130">
            <v>66315.590053009408</v>
          </cell>
          <cell r="I130">
            <v>67151.386036380296</v>
          </cell>
          <cell r="J130">
            <v>151355.08196302911</v>
          </cell>
          <cell r="K130">
            <v>172134.00000000003</v>
          </cell>
          <cell r="L130">
            <v>22512.71186440677</v>
          </cell>
          <cell r="M130">
            <v>1892396.3617419717</v>
          </cell>
          <cell r="N130">
            <v>120000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46458</v>
          </cell>
          <cell r="Y130">
            <v>2058854.3617419717</v>
          </cell>
          <cell r="Z130">
            <v>0</v>
          </cell>
          <cell r="AC130">
            <v>0</v>
          </cell>
          <cell r="AE130">
            <v>0</v>
          </cell>
          <cell r="AF130">
            <v>1959025.330181326</v>
          </cell>
          <cell r="AG130">
            <v>99829.031560645672</v>
          </cell>
          <cell r="AH130">
            <v>5.0958520047010097E-2</v>
          </cell>
          <cell r="AJ130">
            <v>4552.0652419838789</v>
          </cell>
          <cell r="AK130">
            <v>4973.0781684588692</v>
          </cell>
        </row>
        <row r="131">
          <cell r="D131">
            <v>2319</v>
          </cell>
          <cell r="E131" t="str">
            <v>Waterthorpe Infant School</v>
          </cell>
          <cell r="F131">
            <v>128</v>
          </cell>
          <cell r="G131">
            <v>436847.17814883747</v>
          </cell>
          <cell r="H131">
            <v>14444.980011546595</v>
          </cell>
          <cell r="I131">
            <v>13710.043560294136</v>
          </cell>
          <cell r="J131">
            <v>16365.831410338344</v>
          </cell>
          <cell r="K131">
            <v>56821.621621621627</v>
          </cell>
          <cell r="L131">
            <v>951.35135135135044</v>
          </cell>
          <cell r="M131">
            <v>539141.00610398955</v>
          </cell>
          <cell r="N131">
            <v>120000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16966</v>
          </cell>
          <cell r="Y131">
            <v>676107.00610398955</v>
          </cell>
          <cell r="Z131">
            <v>0</v>
          </cell>
          <cell r="AC131">
            <v>0</v>
          </cell>
          <cell r="AE131">
            <v>9</v>
          </cell>
          <cell r="AF131">
            <v>609437.30197099957</v>
          </cell>
          <cell r="AG131">
            <v>66669.70413298998</v>
          </cell>
          <cell r="AH131">
            <v>0.10939550945990913</v>
          </cell>
          <cell r="AJ131">
            <v>4941.4418653025177</v>
          </cell>
          <cell r="AK131">
            <v>5282.0859851874184</v>
          </cell>
        </row>
        <row r="132">
          <cell r="D132">
            <v>2352</v>
          </cell>
          <cell r="E132" t="str">
            <v>Westways Primary School</v>
          </cell>
          <cell r="F132">
            <v>570</v>
          </cell>
          <cell r="G132">
            <v>1945335.0901940418</v>
          </cell>
          <cell r="H132">
            <v>21339.175017057423</v>
          </cell>
          <cell r="I132">
            <v>25882.101464786043</v>
          </cell>
          <cell r="J132">
            <v>33211.190962189408</v>
          </cell>
          <cell r="K132">
            <v>146592.13075060531</v>
          </cell>
          <cell r="L132">
            <v>66462</v>
          </cell>
          <cell r="M132">
            <v>2238821.6883886801</v>
          </cell>
          <cell r="N132">
            <v>120000</v>
          </cell>
          <cell r="O132">
            <v>5219.9999999999845</v>
          </cell>
          <cell r="P132">
            <v>18558.311611319812</v>
          </cell>
          <cell r="Q132">
            <v>18558.311611319812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32364</v>
          </cell>
          <cell r="Y132">
            <v>2414964</v>
          </cell>
          <cell r="Z132">
            <v>0</v>
          </cell>
          <cell r="AC132">
            <v>0</v>
          </cell>
          <cell r="AE132">
            <v>-15</v>
          </cell>
          <cell r="AF132">
            <v>2373871.9272245043</v>
          </cell>
          <cell r="AG132">
            <v>41092.072775495704</v>
          </cell>
          <cell r="AH132">
            <v>1.7310147318494954E-2</v>
          </cell>
          <cell r="AJ132">
            <v>3878.0207302982981</v>
          </cell>
          <cell r="AK132">
            <v>4236.7789473684206</v>
          </cell>
        </row>
        <row r="133">
          <cell r="D133">
            <v>2311</v>
          </cell>
          <cell r="E133" t="str">
            <v>Wharncliffe Side Primary School</v>
          </cell>
          <cell r="F133">
            <v>134</v>
          </cell>
          <cell r="G133">
            <v>457324.38962456421</v>
          </cell>
          <cell r="H133">
            <v>9848.8500078726611</v>
          </cell>
          <cell r="I133">
            <v>9055.6395675238109</v>
          </cell>
          <cell r="J133">
            <v>18438.630473651512</v>
          </cell>
          <cell r="K133">
            <v>57688.717948717946</v>
          </cell>
          <cell r="L133">
            <v>0</v>
          </cell>
          <cell r="M133">
            <v>552356.22762233019</v>
          </cell>
          <cell r="N133">
            <v>120000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3457</v>
          </cell>
          <cell r="Y133">
            <v>675813.22762233019</v>
          </cell>
          <cell r="Z133">
            <v>0</v>
          </cell>
          <cell r="AC133">
            <v>0</v>
          </cell>
          <cell r="AE133">
            <v>-16</v>
          </cell>
          <cell r="AF133">
            <v>707582.95542638947</v>
          </cell>
          <cell r="AG133">
            <v>-31769.727804059279</v>
          </cell>
          <cell r="AH133">
            <v>-4.4898944442372614E-2</v>
          </cell>
          <cell r="AJ133">
            <v>4537.3397028425961</v>
          </cell>
          <cell r="AK133">
            <v>5043.3822956890317</v>
          </cell>
        </row>
        <row r="134">
          <cell r="D134">
            <v>2040</v>
          </cell>
          <cell r="E134" t="str">
            <v>Whiteways Primary School</v>
          </cell>
          <cell r="F134">
            <v>414</v>
          </cell>
          <cell r="G134">
            <v>1412927.5918251462</v>
          </cell>
          <cell r="H134">
            <v>63689.230050909966</v>
          </cell>
          <cell r="I134">
            <v>58559.802536654053</v>
          </cell>
          <cell r="J134">
            <v>119517.17375274425</v>
          </cell>
          <cell r="K134">
            <v>224405.88039867111</v>
          </cell>
          <cell r="L134">
            <v>116408.42696629219</v>
          </cell>
          <cell r="M134">
            <v>1995508.1055304178</v>
          </cell>
          <cell r="N134">
            <v>120000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7412</v>
          </cell>
          <cell r="Y134">
            <v>2122920.1055304175</v>
          </cell>
          <cell r="Z134">
            <v>0</v>
          </cell>
          <cell r="AC134">
            <v>0</v>
          </cell>
          <cell r="AE134">
            <v>-10</v>
          </cell>
          <cell r="AF134">
            <v>2123257.2982354364</v>
          </cell>
          <cell r="AG134">
            <v>-337.19270501891151</v>
          </cell>
          <cell r="AH134">
            <v>-1.5880915859756628E-4</v>
          </cell>
          <cell r="AJ134">
            <v>4827.8023071590487</v>
          </cell>
          <cell r="AK134">
            <v>5127.8263418609122</v>
          </cell>
        </row>
        <row r="135">
          <cell r="D135">
            <v>2027</v>
          </cell>
          <cell r="E135" t="str">
            <v>Wincobank Nursery and Infant School</v>
          </cell>
          <cell r="F135">
            <v>131</v>
          </cell>
          <cell r="G135">
            <v>447085.78388670087</v>
          </cell>
          <cell r="H135">
            <v>22980.650018369586</v>
          </cell>
          <cell r="I135">
            <v>21129.825657555597</v>
          </cell>
          <cell r="J135">
            <v>31250.539609391344</v>
          </cell>
          <cell r="K135">
            <v>62367.39130434781</v>
          </cell>
          <cell r="L135">
            <v>19002.197802197825</v>
          </cell>
          <cell r="M135">
            <v>603816.38827856304</v>
          </cell>
          <cell r="N135">
            <v>120000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2345</v>
          </cell>
          <cell r="Y135">
            <v>726161.38827856304</v>
          </cell>
          <cell r="Z135">
            <v>0</v>
          </cell>
          <cell r="AC135">
            <v>0</v>
          </cell>
          <cell r="AE135">
            <v>-23</v>
          </cell>
          <cell r="AF135">
            <v>781185.36575115309</v>
          </cell>
          <cell r="AG135">
            <v>-55023.97747259005</v>
          </cell>
          <cell r="AH135">
            <v>-7.0436518507590626E-2</v>
          </cell>
          <cell r="AJ135">
            <v>4892.7522451373579</v>
          </cell>
          <cell r="AK135">
            <v>5543.2167044165117</v>
          </cell>
        </row>
        <row r="136">
          <cell r="D136">
            <v>2361</v>
          </cell>
          <cell r="E136" t="str">
            <v>Windmill Hill Primary School</v>
          </cell>
          <cell r="F136">
            <v>351</v>
          </cell>
          <cell r="G136">
            <v>1197916.8713300154</v>
          </cell>
          <cell r="H136">
            <v>15758.160012596312</v>
          </cell>
          <cell r="I136">
            <v>17611.904815888687</v>
          </cell>
          <cell r="J136">
            <v>23527.81623357713</v>
          </cell>
          <cell r="K136">
            <v>96698.264331210186</v>
          </cell>
          <cell r="L136">
            <v>2428.3018867924607</v>
          </cell>
          <cell r="M136">
            <v>1353941.3186100803</v>
          </cell>
          <cell r="N136">
            <v>120000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4316</v>
          </cell>
          <cell r="Y136">
            <v>1478257.3186100803</v>
          </cell>
          <cell r="Z136">
            <v>0</v>
          </cell>
          <cell r="AC136">
            <v>0</v>
          </cell>
          <cell r="AE136">
            <v>-27</v>
          </cell>
          <cell r="AF136">
            <v>1525095.6594914105</v>
          </cell>
          <cell r="AG136">
            <v>-46838.340881330194</v>
          </cell>
          <cell r="AH136">
            <v>-3.0711739679955462E-2</v>
          </cell>
          <cell r="AJ136">
            <v>3854.7646018291284</v>
          </cell>
          <cell r="AK136">
            <v>4211.5593122794307</v>
          </cell>
        </row>
        <row r="137">
          <cell r="D137">
            <v>2043</v>
          </cell>
          <cell r="E137" t="str">
            <v>Wisewood Community Primary School</v>
          </cell>
          <cell r="F137">
            <v>162</v>
          </cell>
          <cell r="G137">
            <v>552884.70984462241</v>
          </cell>
          <cell r="H137">
            <v>27248.485021781089</v>
          </cell>
          <cell r="I137">
            <v>25053.93613681593</v>
          </cell>
          <cell r="J137">
            <v>19010.970513521555</v>
          </cell>
          <cell r="K137">
            <v>62608.23529411765</v>
          </cell>
          <cell r="L137">
            <v>5647.1830985915458</v>
          </cell>
          <cell r="M137">
            <v>692453.5199094502</v>
          </cell>
          <cell r="N137">
            <v>120000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71.491633928780772</v>
          </cell>
          <cell r="U137">
            <v>71.491633928780772</v>
          </cell>
          <cell r="V137">
            <v>0</v>
          </cell>
          <cell r="W137">
            <v>0</v>
          </cell>
          <cell r="X137">
            <v>2320</v>
          </cell>
          <cell r="Y137">
            <v>814845.01154337917</v>
          </cell>
          <cell r="Z137">
            <v>0</v>
          </cell>
          <cell r="AC137">
            <v>4.3695792555809021E-5</v>
          </cell>
          <cell r="AE137">
            <v>2</v>
          </cell>
          <cell r="AF137">
            <v>792884.03925770917</v>
          </cell>
          <cell r="AG137">
            <v>21960.972285669995</v>
          </cell>
          <cell r="AH137">
            <v>2.769758400765597E-2</v>
          </cell>
          <cell r="AJ137">
            <v>4775.6452453606817</v>
          </cell>
          <cell r="AK137">
            <v>5029.9074786628344</v>
          </cell>
        </row>
        <row r="138">
          <cell r="D138">
            <v>2139</v>
          </cell>
          <cell r="E138" t="str">
            <v>Woodhouse West Primary School</v>
          </cell>
          <cell r="F138">
            <v>343</v>
          </cell>
          <cell r="G138">
            <v>1170613.9226957129</v>
          </cell>
          <cell r="H138">
            <v>49572.545039625758</v>
          </cell>
          <cell r="I138">
            <v>49135.797969773339</v>
          </cell>
          <cell r="J138">
            <v>88809.385240647403</v>
          </cell>
          <cell r="K138">
            <v>140844.375</v>
          </cell>
          <cell r="L138">
            <v>10883.653846153849</v>
          </cell>
          <cell r="M138">
            <v>1509859.6797919134</v>
          </cell>
          <cell r="N138">
            <v>120000</v>
          </cell>
          <cell r="O138">
            <v>9378.0000000000055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5040</v>
          </cell>
          <cell r="Y138">
            <v>1644277.6797919134</v>
          </cell>
          <cell r="Z138">
            <v>0</v>
          </cell>
          <cell r="AA138">
            <v>202086870.99551499</v>
          </cell>
          <cell r="AC138">
            <v>0</v>
          </cell>
          <cell r="AE138">
            <v>-2</v>
          </cell>
          <cell r="AF138">
            <v>1609884.0158615003</v>
          </cell>
          <cell r="AG138">
            <v>34393.66393041308</v>
          </cell>
          <cell r="AH138">
            <v>2.1364063244026888E-2</v>
          </cell>
          <cell r="AJ138">
            <v>4472.3079216275373</v>
          </cell>
          <cell r="AK138">
            <v>4793.8124775274446</v>
          </cell>
        </row>
        <row r="139">
          <cell r="D139">
            <v>2324</v>
          </cell>
          <cell r="E139" t="str">
            <v>Woodseats Primary School</v>
          </cell>
          <cell r="F139">
            <v>363</v>
          </cell>
          <cell r="G139">
            <v>1238871.2942814687</v>
          </cell>
          <cell r="H139">
            <v>36112.450028866479</v>
          </cell>
          <cell r="I139">
            <v>34602.075400117348</v>
          </cell>
          <cell r="J139">
            <v>44866.81853089451</v>
          </cell>
          <cell r="K139">
            <v>100056.56896551725</v>
          </cell>
          <cell r="L139">
            <v>14214.563106796109</v>
          </cell>
          <cell r="M139">
            <v>1468723.7703136604</v>
          </cell>
          <cell r="N139">
            <v>120000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4890</v>
          </cell>
          <cell r="Y139">
            <v>1593613.7703136604</v>
          </cell>
          <cell r="Z139">
            <v>0</v>
          </cell>
          <cell r="AA139">
            <v>665289.6884590697</v>
          </cell>
          <cell r="AC139">
            <v>0</v>
          </cell>
          <cell r="AE139">
            <v>2</v>
          </cell>
          <cell r="AF139">
            <v>1538654.3861593546</v>
          </cell>
          <cell r="AG139">
            <v>54959.384154305793</v>
          </cell>
          <cell r="AH139">
            <v>3.5719122272474896E-2</v>
          </cell>
          <cell r="AJ139">
            <v>4082.3205156768827</v>
          </cell>
          <cell r="AK139">
            <v>4390.1205793764748</v>
          </cell>
        </row>
        <row r="140">
          <cell r="D140">
            <v>2327</v>
          </cell>
          <cell r="E140" t="str">
            <v>Woodthorpe Primary School</v>
          </cell>
          <cell r="F140">
            <v>403</v>
          </cell>
          <cell r="G140">
            <v>1375386.0374529804</v>
          </cell>
          <cell r="H140">
            <v>76492.7350611445</v>
          </cell>
          <cell r="I140">
            <v>74883.465050206432</v>
          </cell>
          <cell r="J140">
            <v>158623.26861749959</v>
          </cell>
          <cell r="K140">
            <v>156420.90778097982</v>
          </cell>
          <cell r="L140">
            <v>9636.9565217391282</v>
          </cell>
          <cell r="M140">
            <v>1851443.3704845498</v>
          </cell>
          <cell r="N140">
            <v>120000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48024</v>
          </cell>
          <cell r="Y140">
            <v>2019467.3704845498</v>
          </cell>
          <cell r="Z140">
            <v>0</v>
          </cell>
          <cell r="AA140">
            <v>2183479.9681392573</v>
          </cell>
          <cell r="AC140">
            <v>0</v>
          </cell>
          <cell r="AE140">
            <v>5</v>
          </cell>
          <cell r="AF140">
            <v>1953760.743195046</v>
          </cell>
          <cell r="AG140">
            <v>65706.627289503813</v>
          </cell>
          <cell r="AH140">
            <v>3.3630846314401684E-2</v>
          </cell>
          <cell r="AJ140">
            <v>4717.4217238568999</v>
          </cell>
          <cell r="AK140">
            <v>5011.0852865621582</v>
          </cell>
        </row>
        <row r="141">
          <cell r="D141">
            <v>2321</v>
          </cell>
          <cell r="E141" t="str">
            <v>Wybourn Community Primary &amp; Nursery School</v>
          </cell>
          <cell r="F141">
            <v>414</v>
          </cell>
          <cell r="G141">
            <v>1412927.5918251462</v>
          </cell>
          <cell r="H141">
            <v>82730.340066130491</v>
          </cell>
          <cell r="I141">
            <v>77346.591354651304</v>
          </cell>
          <cell r="J141">
            <v>160123.72764094267</v>
          </cell>
          <cell r="K141">
            <v>222711.54069767441</v>
          </cell>
          <cell r="L141">
            <v>19996.317280453262</v>
          </cell>
          <cell r="M141">
            <v>1975836.1088649984</v>
          </cell>
          <cell r="N141">
            <v>120000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10000</v>
          </cell>
          <cell r="X141">
            <v>5040</v>
          </cell>
          <cell r="Y141">
            <v>2110876.1088649984</v>
          </cell>
          <cell r="Z141">
            <v>0</v>
          </cell>
          <cell r="AA141">
            <v>1850517.7131137729</v>
          </cell>
          <cell r="AC141">
            <v>0</v>
          </cell>
          <cell r="AE141">
            <v>5</v>
          </cell>
          <cell r="AF141">
            <v>2024233.0742748312</v>
          </cell>
          <cell r="AG141">
            <v>86643.034590167226</v>
          </cell>
          <cell r="AH141">
            <v>4.2802894435072181E-2</v>
          </cell>
          <cell r="AJ141">
            <v>4760.9840168088786</v>
          </cell>
          <cell r="AK141">
            <v>5098.7345624758418</v>
          </cell>
        </row>
        <row r="142">
          <cell r="D142">
            <v>0</v>
          </cell>
          <cell r="E142">
            <v>0</v>
          </cell>
          <cell r="G142"/>
          <cell r="H142"/>
          <cell r="I142"/>
          <cell r="J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AA142">
            <v>206786158.3652271</v>
          </cell>
        </row>
        <row r="143">
          <cell r="D143">
            <v>0</v>
          </cell>
          <cell r="E143" t="str">
            <v>Total Primary</v>
          </cell>
          <cell r="F143">
            <v>43315</v>
          </cell>
          <cell r="G143">
            <v>147828402.5118508</v>
          </cell>
          <cell r="H143">
            <v>4074140.9532566639</v>
          </cell>
          <cell r="I143">
            <v>4066367.7539596814</v>
          </cell>
          <cell r="J143">
            <v>8003530.6260505794</v>
          </cell>
          <cell r="K143">
            <v>14418359.396328634</v>
          </cell>
          <cell r="L143">
            <v>3032649.7551168897</v>
          </cell>
          <cell r="M143">
            <v>181423450.99656326</v>
          </cell>
          <cell r="N143">
            <v>15960000</v>
          </cell>
          <cell r="O143">
            <v>183475.49470535343</v>
          </cell>
          <cell r="P143"/>
          <cell r="Q143">
            <v>1492731.6077145247</v>
          </cell>
          <cell r="R143">
            <v>0</v>
          </cell>
          <cell r="S143">
            <v>0</v>
          </cell>
          <cell r="T143">
            <v>514049.60004674434</v>
          </cell>
          <cell r="U143">
            <v>514049.60004674434</v>
          </cell>
          <cell r="V143">
            <v>409359.4725650457</v>
          </cell>
          <cell r="W143">
            <v>133356.82392</v>
          </cell>
          <cell r="X143">
            <v>1970447</v>
          </cell>
          <cell r="Y143">
            <v>202086870.99551499</v>
          </cell>
          <cell r="Z143">
            <v>206786158.36522457</v>
          </cell>
          <cell r="AA143" t="str">
            <v>ISB Primary</v>
          </cell>
          <cell r="AE143">
            <v>-278</v>
          </cell>
          <cell r="AF143">
            <v>195951700.531818</v>
          </cell>
          <cell r="AG143">
            <v>6135170.4636969864</v>
          </cell>
          <cell r="AH143">
            <v>3.1309605617333119E-2</v>
          </cell>
          <cell r="AJ143">
            <v>4130.016217280996</v>
          </cell>
          <cell r="AK143">
            <v>4665.5170494174072</v>
          </cell>
        </row>
        <row r="144">
          <cell r="D144">
            <v>0</v>
          </cell>
          <cell r="E144">
            <v>0</v>
          </cell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>
            <v>18</v>
          </cell>
          <cell r="R144"/>
          <cell r="S144">
            <v>0</v>
          </cell>
          <cell r="T144"/>
          <cell r="U144">
            <v>16</v>
          </cell>
          <cell r="V144"/>
          <cell r="W144"/>
          <cell r="X144"/>
          <cell r="Y144"/>
          <cell r="Z144">
            <v>-2.5185290724039078E-6</v>
          </cell>
          <cell r="AA144" t="str">
            <v>Sector Balance</v>
          </cell>
        </row>
        <row r="145">
          <cell r="D145">
            <v>0</v>
          </cell>
          <cell r="E145" t="str">
            <v>Secondary</v>
          </cell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>
            <v>0</v>
          </cell>
          <cell r="T145"/>
          <cell r="U145">
            <v>3836.1910451249578</v>
          </cell>
          <cell r="V145"/>
          <cell r="W145"/>
          <cell r="X145"/>
          <cell r="Y145"/>
        </row>
        <row r="146">
          <cell r="D146">
            <v>0</v>
          </cell>
          <cell r="E146">
            <v>0</v>
          </cell>
          <cell r="G146"/>
          <cell r="H146"/>
          <cell r="I146"/>
          <cell r="J146"/>
          <cell r="M146"/>
          <cell r="N146"/>
          <cell r="O146"/>
          <cell r="P146"/>
          <cell r="Q146"/>
          <cell r="R146">
            <v>5415</v>
          </cell>
          <cell r="S146"/>
          <cell r="T146"/>
          <cell r="U146"/>
          <cell r="V146"/>
          <cell r="W146"/>
          <cell r="X146"/>
          <cell r="Y146"/>
        </row>
        <row r="147">
          <cell r="D147">
            <v>5401</v>
          </cell>
          <cell r="E147" t="str">
            <v>All Saints' Catholic High School</v>
          </cell>
          <cell r="F147">
            <v>1018</v>
          </cell>
          <cell r="G147">
            <v>4731060.4283173755</v>
          </cell>
          <cell r="H147">
            <v>94062.65454880269</v>
          </cell>
          <cell r="I147">
            <v>107188.38048424829</v>
          </cell>
          <cell r="J147">
            <v>356508.51521381654</v>
          </cell>
          <cell r="K147">
            <v>360700.18755157106</v>
          </cell>
          <cell r="L147">
            <v>25269.82300884954</v>
          </cell>
          <cell r="M147">
            <v>5674789.9891246632</v>
          </cell>
          <cell r="N147">
            <v>120000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35496</v>
          </cell>
          <cell r="Y147">
            <v>5830285.9891246632</v>
          </cell>
          <cell r="Z147">
            <v>0</v>
          </cell>
          <cell r="AC147">
            <v>0</v>
          </cell>
          <cell r="AE147">
            <v>-9</v>
          </cell>
          <cell r="AF147">
            <v>5633719.8148757666</v>
          </cell>
          <cell r="AG147">
            <v>196566.17424889654</v>
          </cell>
          <cell r="AH147">
            <v>3.4891009973528682E-2</v>
          </cell>
          <cell r="AJ147">
            <v>5220.8283883892573</v>
          </cell>
          <cell r="AK147">
            <v>5727.1964529711822</v>
          </cell>
        </row>
        <row r="148">
          <cell r="D148">
            <v>4017</v>
          </cell>
          <cell r="E148" t="str">
            <v>Bradfield School</v>
          </cell>
          <cell r="F148">
            <v>1067</v>
          </cell>
          <cell r="G148">
            <v>4943221.8739672452</v>
          </cell>
          <cell r="H148">
            <v>59243.881870516372</v>
          </cell>
          <cell r="I148">
            <v>60709.809745140643</v>
          </cell>
          <cell r="J148">
            <v>77287.041112585808</v>
          </cell>
          <cell r="K148">
            <v>263231.59383176704</v>
          </cell>
          <cell r="L148">
            <v>0</v>
          </cell>
          <cell r="M148">
            <v>5403694.2005272554</v>
          </cell>
          <cell r="N148">
            <v>120000</v>
          </cell>
          <cell r="O148">
            <v>0</v>
          </cell>
          <cell r="P148">
            <v>254110.79947274478</v>
          </cell>
          <cell r="Q148">
            <v>254110.79947274478</v>
          </cell>
          <cell r="R148">
            <v>0</v>
          </cell>
          <cell r="S148">
            <v>0</v>
          </cell>
          <cell r="T148">
            <v>28800.475518822735</v>
          </cell>
          <cell r="U148">
            <v>28800.475518822735</v>
          </cell>
          <cell r="V148">
            <v>346961.64952582598</v>
          </cell>
          <cell r="W148">
            <v>0</v>
          </cell>
          <cell r="X148">
            <v>30689</v>
          </cell>
          <cell r="Y148">
            <v>6184256.1250446513</v>
          </cell>
          <cell r="Z148">
            <v>0</v>
          </cell>
          <cell r="AC148">
            <v>-4.7317706048488617E-5</v>
          </cell>
          <cell r="AE148">
            <v>40</v>
          </cell>
          <cell r="AF148">
            <v>5844197.8643446472</v>
          </cell>
          <cell r="AG148">
            <v>340058.26070000418</v>
          </cell>
          <cell r="AH148">
            <v>5.8187328456945978E-2</v>
          </cell>
          <cell r="AJ148">
            <v>5425.7729350970276</v>
          </cell>
          <cell r="AK148">
            <v>5795.9288894514075</v>
          </cell>
        </row>
        <row r="149">
          <cell r="D149">
            <v>4000</v>
          </cell>
          <cell r="E149" t="str">
            <v>Chaucer School</v>
          </cell>
          <cell r="F149">
            <v>868</v>
          </cell>
          <cell r="G149">
            <v>4039404.341505914</v>
          </cell>
          <cell r="H149">
            <v>217227.56685856052</v>
          </cell>
          <cell r="I149">
            <v>208276.23868701412</v>
          </cell>
          <cell r="J149">
            <v>488039.98889507668</v>
          </cell>
          <cell r="K149">
            <v>454873.56913715095</v>
          </cell>
          <cell r="L149">
            <v>20813.979238754382</v>
          </cell>
          <cell r="M149">
            <v>5428635.6843224708</v>
          </cell>
          <cell r="N149">
            <v>120000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18169</v>
          </cell>
          <cell r="Y149">
            <v>5566804.6843224708</v>
          </cell>
          <cell r="Z149">
            <v>0</v>
          </cell>
          <cell r="AC149">
            <v>0</v>
          </cell>
          <cell r="AE149">
            <v>17</v>
          </cell>
          <cell r="AF149">
            <v>5291210.8901296882</v>
          </cell>
          <cell r="AG149">
            <v>275593.7941927826</v>
          </cell>
          <cell r="AH149">
            <v>5.2085203163396834E-2</v>
          </cell>
          <cell r="AJ149">
            <v>5952.8591188362961</v>
          </cell>
          <cell r="AK149">
            <v>6413.369451984413</v>
          </cell>
        </row>
        <row r="150">
          <cell r="D150">
            <v>4012</v>
          </cell>
          <cell r="E150" t="str">
            <v>Ecclesfield School</v>
          </cell>
          <cell r="F150">
            <v>1700</v>
          </cell>
          <cell r="G150">
            <v>7895930.3702093326</v>
          </cell>
          <cell r="H150">
            <v>181889.11100597121</v>
          </cell>
          <cell r="I150">
            <v>176901.46906208631</v>
          </cell>
          <cell r="J150">
            <v>367636.20909071667</v>
          </cell>
          <cell r="K150">
            <v>671029.16133847053</v>
          </cell>
          <cell r="L150">
            <v>5940.0000000000055</v>
          </cell>
          <cell r="M150">
            <v>9299326.320706578</v>
          </cell>
          <cell r="N150">
            <v>120000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577516.9237361839</v>
          </cell>
          <cell r="W150">
            <v>0</v>
          </cell>
          <cell r="X150">
            <v>44370</v>
          </cell>
          <cell r="Y150">
            <v>10041213.244442763</v>
          </cell>
          <cell r="Z150">
            <v>0</v>
          </cell>
          <cell r="AC150">
            <v>0</v>
          </cell>
          <cell r="AE150">
            <v>27</v>
          </cell>
          <cell r="AF150">
            <v>9548075.4596974347</v>
          </cell>
          <cell r="AG150">
            <v>493137.78474532813</v>
          </cell>
          <cell r="AH150">
            <v>5.1647872581953282E-2</v>
          </cell>
          <cell r="AJ150">
            <v>5442.3780751329559</v>
          </cell>
          <cell r="AK150">
            <v>5906.5960261428017</v>
          </cell>
        </row>
        <row r="151">
          <cell r="D151">
            <v>4280</v>
          </cell>
          <cell r="E151" t="str">
            <v>Fir Vale School</v>
          </cell>
          <cell r="F151">
            <v>977</v>
          </cell>
          <cell r="G151">
            <v>4552308.9761283034</v>
          </cell>
          <cell r="H151">
            <v>280109.2309491965</v>
          </cell>
          <cell r="I151">
            <v>239092.95274710344</v>
          </cell>
          <cell r="J151">
            <v>454201.79524509446</v>
          </cell>
          <cell r="K151">
            <v>575865.94494591549</v>
          </cell>
          <cell r="L151">
            <v>152405.96292481947</v>
          </cell>
          <cell r="M151">
            <v>6253984.8629404325</v>
          </cell>
          <cell r="N151">
            <v>120000</v>
          </cell>
          <cell r="O151">
            <v>9782.4381930184718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331902.3732295598</v>
          </cell>
          <cell r="W151">
            <v>0</v>
          </cell>
          <cell r="X151">
            <v>30537</v>
          </cell>
          <cell r="Y151">
            <v>6746206.6743630096</v>
          </cell>
          <cell r="Z151">
            <v>0</v>
          </cell>
          <cell r="AC151">
            <v>0</v>
          </cell>
          <cell r="AE151">
            <v>37</v>
          </cell>
          <cell r="AF151">
            <v>6226092.220019062</v>
          </cell>
          <cell r="AG151">
            <v>520114.45434394758</v>
          </cell>
          <cell r="AH151">
            <v>8.3537865480308476E-2</v>
          </cell>
          <cell r="AJ151">
            <v>6358.7223617224063</v>
          </cell>
          <cell r="AK151">
            <v>6905.0221846090171</v>
          </cell>
        </row>
        <row r="152">
          <cell r="D152">
            <v>4003</v>
          </cell>
          <cell r="E152" t="str">
            <v>Firth Park Academy</v>
          </cell>
          <cell r="F152">
            <v>1151</v>
          </cell>
          <cell r="G152">
            <v>5363046.138819281</v>
          </cell>
          <cell r="H152">
            <v>272833.66650895722</v>
          </cell>
          <cell r="I152">
            <v>271249.2116548972</v>
          </cell>
          <cell r="J152">
            <v>619333.65629599045</v>
          </cell>
          <cell r="K152">
            <v>553849.81858385669</v>
          </cell>
          <cell r="L152">
            <v>102554.1</v>
          </cell>
          <cell r="M152">
            <v>7182866.5918629812</v>
          </cell>
          <cell r="N152">
            <v>120000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19760</v>
          </cell>
          <cell r="Y152">
            <v>7322626.5918629812</v>
          </cell>
          <cell r="Z152">
            <v>0</v>
          </cell>
          <cell r="AC152">
            <v>0</v>
          </cell>
          <cell r="AE152">
            <v>-23</v>
          </cell>
          <cell r="AF152">
            <v>7288061.3088873737</v>
          </cell>
          <cell r="AG152">
            <v>34565.282975607552</v>
          </cell>
          <cell r="AH152">
            <v>4.7427267020184322E-3</v>
          </cell>
          <cell r="AJ152">
            <v>5943.1086787797049</v>
          </cell>
          <cell r="AK152">
            <v>6361.9692370660132</v>
          </cell>
        </row>
        <row r="153">
          <cell r="D153">
            <v>4007</v>
          </cell>
          <cell r="E153" t="str">
            <v>Forge Valley School</v>
          </cell>
          <cell r="F153">
            <v>1173</v>
          </cell>
          <cell r="G153">
            <v>5442305.5488505</v>
          </cell>
          <cell r="H153">
            <v>120046.81326394121</v>
          </cell>
          <cell r="I153">
            <v>122318.80713695587</v>
          </cell>
          <cell r="J153">
            <v>181384.69028008945</v>
          </cell>
          <cell r="K153">
            <v>358144.23763030081</v>
          </cell>
          <cell r="L153">
            <v>22274.999999999927</v>
          </cell>
          <cell r="M153">
            <v>6246475.0971617876</v>
          </cell>
          <cell r="N153">
            <v>120000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34182</v>
          </cell>
          <cell r="Y153">
            <v>6400657.0971617876</v>
          </cell>
          <cell r="Z153">
            <v>0</v>
          </cell>
          <cell r="AC153">
            <v>0</v>
          </cell>
          <cell r="AE153">
            <v>17</v>
          </cell>
          <cell r="AF153">
            <v>6120267.6799999988</v>
          </cell>
          <cell r="AG153">
            <v>280389.41716178879</v>
          </cell>
          <cell r="AH153">
            <v>4.5813260435986165E-2</v>
          </cell>
          <cell r="AJ153">
            <v>5029.5692041522479</v>
          </cell>
          <cell r="AK153">
            <v>5456.6556668045932</v>
          </cell>
        </row>
        <row r="154">
          <cell r="D154">
            <v>4278</v>
          </cell>
          <cell r="E154" t="str">
            <v>Handsworth Grange Community Sports College</v>
          </cell>
          <cell r="F154">
            <v>1033</v>
          </cell>
          <cell r="G154">
            <v>4801989.5265772846</v>
          </cell>
          <cell r="H154">
            <v>129920.79357569428</v>
          </cell>
          <cell r="I154">
            <v>135748.7547525703</v>
          </cell>
          <cell r="J154">
            <v>286130.15655612288</v>
          </cell>
          <cell r="K154">
            <v>429233.01930937869</v>
          </cell>
          <cell r="L154">
            <v>37125.00000000008</v>
          </cell>
          <cell r="M154">
            <v>5820147.2507710494</v>
          </cell>
          <cell r="N154">
            <v>120000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24789</v>
          </cell>
          <cell r="Y154">
            <v>5964936.2507710494</v>
          </cell>
          <cell r="Z154">
            <v>0</v>
          </cell>
          <cell r="AC154">
            <v>0</v>
          </cell>
          <cell r="AE154">
            <v>8</v>
          </cell>
          <cell r="AF154">
            <v>5756322.1091153705</v>
          </cell>
          <cell r="AG154">
            <v>208614.14165567886</v>
          </cell>
          <cell r="AH154">
            <v>3.6240873547595587E-2</v>
          </cell>
          <cell r="AJ154">
            <v>5351.1440088930449</v>
          </cell>
          <cell r="AK154">
            <v>5774.3816561191188</v>
          </cell>
        </row>
        <row r="155">
          <cell r="D155">
            <v>4257</v>
          </cell>
          <cell r="E155" t="str">
            <v>High Storrs School</v>
          </cell>
          <cell r="F155">
            <v>1208</v>
          </cell>
          <cell r="G155">
            <v>5612874.2769131698</v>
          </cell>
          <cell r="H155">
            <v>37936.871724102624</v>
          </cell>
          <cell r="I155">
            <v>46620.412657111978</v>
          </cell>
          <cell r="J155">
            <v>29377.275839346254</v>
          </cell>
          <cell r="K155">
            <v>262768.74833224405</v>
          </cell>
          <cell r="L155">
            <v>8954.4758735440864</v>
          </cell>
          <cell r="M155">
            <v>5998532.061339519</v>
          </cell>
          <cell r="N155">
            <v>120000</v>
          </cell>
          <cell r="O155">
            <v>0</v>
          </cell>
          <cell r="P155">
            <v>422787.93866048101</v>
          </cell>
          <cell r="Q155">
            <v>422787.93866048101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39933</v>
          </cell>
          <cell r="Y155">
            <v>6581253</v>
          </cell>
          <cell r="Z155">
            <v>0</v>
          </cell>
          <cell r="AC155">
            <v>0</v>
          </cell>
          <cell r="AE155">
            <v>6</v>
          </cell>
          <cell r="AF155">
            <v>6368198.5599999996</v>
          </cell>
          <cell r="AG155">
            <v>213054.44000000041</v>
          </cell>
          <cell r="AH155">
            <v>3.3455998268998761E-2</v>
          </cell>
          <cell r="AJ155">
            <v>5033.2221297836941</v>
          </cell>
          <cell r="AK155">
            <v>5448.0571192052976</v>
          </cell>
        </row>
        <row r="156">
          <cell r="D156">
            <v>4230</v>
          </cell>
          <cell r="E156" t="str">
            <v>King Ecgbert School</v>
          </cell>
          <cell r="F156">
            <v>1025</v>
          </cell>
          <cell r="G156">
            <v>4766147.1336975023</v>
          </cell>
          <cell r="H156">
            <v>77952.476145416324</v>
          </cell>
          <cell r="I156">
            <v>75994.816899542246</v>
          </cell>
          <cell r="J156">
            <v>63059.665374619108</v>
          </cell>
          <cell r="K156">
            <v>321343.88587586331</v>
          </cell>
          <cell r="L156">
            <v>11938.235294117647</v>
          </cell>
          <cell r="M156">
            <v>5316436.2132870611</v>
          </cell>
          <cell r="N156">
            <v>120000</v>
          </cell>
          <cell r="O156">
            <v>0</v>
          </cell>
          <cell r="P156">
            <v>113938.78671293924</v>
          </cell>
          <cell r="Q156">
            <v>113938.78671293924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569528.98444129864</v>
          </cell>
          <cell r="W156">
            <v>0</v>
          </cell>
          <cell r="X156">
            <v>41760</v>
          </cell>
          <cell r="Y156">
            <v>6161663.984441299</v>
          </cell>
          <cell r="Z156">
            <v>0</v>
          </cell>
          <cell r="AC156">
            <v>0</v>
          </cell>
          <cell r="AE156">
            <v>7</v>
          </cell>
          <cell r="AF156">
            <v>5990360.8961965004</v>
          </cell>
          <cell r="AG156">
            <v>171303.08824479859</v>
          </cell>
          <cell r="AH156">
            <v>2.8596455407814445E-2</v>
          </cell>
          <cell r="AJ156">
            <v>5619.6609589356585</v>
          </cell>
          <cell r="AK156">
            <v>6011.3794970159015</v>
          </cell>
        </row>
        <row r="157">
          <cell r="D157">
            <v>4259</v>
          </cell>
          <cell r="E157" t="str">
            <v>King Edward VII School</v>
          </cell>
          <cell r="F157">
            <v>1118</v>
          </cell>
          <cell r="G157">
            <v>5193988.7857559202</v>
          </cell>
          <cell r="H157">
            <v>139275.09071314425</v>
          </cell>
          <cell r="I157">
            <v>146980.37171530855</v>
          </cell>
          <cell r="J157">
            <v>230312.28082213266</v>
          </cell>
          <cell r="K157">
            <v>375727.02112458786</v>
          </cell>
          <cell r="L157">
            <v>66824.999999999985</v>
          </cell>
          <cell r="M157">
            <v>6153108.5501310937</v>
          </cell>
          <cell r="N157">
            <v>120000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379802.30631591391</v>
          </cell>
          <cell r="W157">
            <v>353795.36119999998</v>
          </cell>
          <cell r="X157">
            <v>271290</v>
          </cell>
          <cell r="Y157">
            <v>7277996.2176470067</v>
          </cell>
          <cell r="Z157">
            <v>0</v>
          </cell>
          <cell r="AC157">
            <v>0</v>
          </cell>
          <cell r="AE157">
            <v>-30</v>
          </cell>
          <cell r="AF157">
            <v>7306315.9153143978</v>
          </cell>
          <cell r="AG157">
            <v>-28319.697667391039</v>
          </cell>
          <cell r="AH157">
            <v>-3.8760570984935866E-3</v>
          </cell>
          <cell r="AJ157">
            <v>6099.6066858139347</v>
          </cell>
          <cell r="AK157">
            <v>6509.8356150688787</v>
          </cell>
        </row>
        <row r="158">
          <cell r="D158">
            <v>4279</v>
          </cell>
          <cell r="E158" t="str">
            <v>Meadowhead School Academy Trust</v>
          </cell>
          <cell r="F158">
            <v>1592</v>
          </cell>
          <cell r="G158">
            <v>7396551.5200362615</v>
          </cell>
          <cell r="H158">
            <v>191763.09131772438</v>
          </cell>
          <cell r="I158">
            <v>184177.96658399369</v>
          </cell>
          <cell r="J158">
            <v>361307.08763627644</v>
          </cell>
          <cell r="K158">
            <v>587746.06113969919</v>
          </cell>
          <cell r="L158">
            <v>40170.698552548791</v>
          </cell>
          <cell r="M158">
            <v>8761716.4252665043</v>
          </cell>
          <cell r="N158">
            <v>120000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618570.4393945093</v>
          </cell>
          <cell r="W158">
            <v>0</v>
          </cell>
          <cell r="X158">
            <v>61148</v>
          </cell>
          <cell r="Y158">
            <v>9561434.8646610118</v>
          </cell>
          <cell r="Z158">
            <v>0</v>
          </cell>
          <cell r="AC158">
            <v>0</v>
          </cell>
          <cell r="AE158">
            <v>5</v>
          </cell>
          <cell r="AF158">
            <v>9189643.6588679459</v>
          </cell>
          <cell r="AG158">
            <v>371791.20579306595</v>
          </cell>
          <cell r="AH158">
            <v>4.0457630305859561E-2</v>
          </cell>
          <cell r="AJ158">
            <v>5525.795714472556</v>
          </cell>
          <cell r="AK158">
            <v>6005.9264225257612</v>
          </cell>
        </row>
        <row r="159">
          <cell r="D159">
            <v>4015</v>
          </cell>
          <cell r="E159" t="str">
            <v>Mercia School</v>
          </cell>
          <cell r="F159">
            <v>539</v>
          </cell>
          <cell r="G159">
            <v>2417541.6571398079</v>
          </cell>
          <cell r="H159">
            <v>49051.386064836246</v>
          </cell>
          <cell r="I159">
            <v>55656.454065705489</v>
          </cell>
          <cell r="J159">
            <v>57133.024984005628</v>
          </cell>
          <cell r="K159">
            <v>161583.5956408162</v>
          </cell>
          <cell r="L159">
            <v>14754.193548387095</v>
          </cell>
          <cell r="M159">
            <v>2755720.3114435589</v>
          </cell>
          <cell r="N159">
            <v>120000</v>
          </cell>
          <cell r="O159">
            <v>0</v>
          </cell>
          <cell r="P159">
            <v>2539.688556441115</v>
          </cell>
          <cell r="Q159">
            <v>2539.688556441115</v>
          </cell>
          <cell r="R159"/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8404</v>
          </cell>
          <cell r="Y159">
            <v>2886664</v>
          </cell>
          <cell r="Z159">
            <v>0</v>
          </cell>
          <cell r="AC159">
            <v>0</v>
          </cell>
          <cell r="AE159">
            <v>182</v>
          </cell>
          <cell r="AF159">
            <v>1809584.574728851</v>
          </cell>
          <cell r="AG159">
            <v>1077079.425271149</v>
          </cell>
          <cell r="AH159">
            <v>0.59520811589175882</v>
          </cell>
          <cell r="AJ159">
            <v>4881.9608255710109</v>
          </cell>
          <cell r="AK159">
            <v>5355.591836734694</v>
          </cell>
        </row>
        <row r="160">
          <cell r="D160">
            <v>4008</v>
          </cell>
          <cell r="E160" t="str">
            <v>Newfield Secondary School</v>
          </cell>
          <cell r="F160">
            <v>1042</v>
          </cell>
          <cell r="G160">
            <v>4843452.4057946876</v>
          </cell>
          <cell r="H160">
            <v>182928.47735457739</v>
          </cell>
          <cell r="I160">
            <v>185528.61528147745</v>
          </cell>
          <cell r="J160">
            <v>337397.80023069418</v>
          </cell>
          <cell r="K160">
            <v>434253.50212215824</v>
          </cell>
          <cell r="L160">
            <v>19342.125</v>
          </cell>
          <cell r="M160">
            <v>6002902.9257835951</v>
          </cell>
          <cell r="N160">
            <v>120000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500402.44980962179</v>
          </cell>
          <cell r="W160">
            <v>0</v>
          </cell>
          <cell r="X160">
            <v>28693</v>
          </cell>
          <cell r="Y160">
            <v>6651998.3755932171</v>
          </cell>
          <cell r="Z160">
            <v>0</v>
          </cell>
          <cell r="AC160">
            <v>0</v>
          </cell>
          <cell r="AE160">
            <v>5</v>
          </cell>
          <cell r="AF160">
            <v>6405539.82241135</v>
          </cell>
          <cell r="AG160">
            <v>246458.55318186712</v>
          </cell>
          <cell r="AH160">
            <v>3.8475844349538116E-2</v>
          </cell>
          <cell r="AJ160">
            <v>5912.2111498662971</v>
          </cell>
          <cell r="AK160">
            <v>6383.8756003773678</v>
          </cell>
        </row>
        <row r="161">
          <cell r="D161">
            <v>5400</v>
          </cell>
          <cell r="E161" t="str">
            <v>Notre Dame High School</v>
          </cell>
          <cell r="F161">
            <v>1065</v>
          </cell>
          <cell r="G161">
            <v>4952048.1964986157</v>
          </cell>
          <cell r="H161">
            <v>52488.000604580368</v>
          </cell>
          <cell r="I161">
            <v>57707.632629287313</v>
          </cell>
          <cell r="J161">
            <v>202559.91783915387</v>
          </cell>
          <cell r="K161">
            <v>267619.89394900645</v>
          </cell>
          <cell r="L161">
            <v>7424.9999999999945</v>
          </cell>
          <cell r="M161">
            <v>5539848.6415206436</v>
          </cell>
          <cell r="N161">
            <v>120000</v>
          </cell>
          <cell r="O161">
            <v>0</v>
          </cell>
          <cell r="P161">
            <v>107126.35847935679</v>
          </cell>
          <cell r="Q161">
            <v>107126.35847935679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23594</v>
          </cell>
          <cell r="Y161">
            <v>5790569</v>
          </cell>
          <cell r="Z161">
            <v>0</v>
          </cell>
          <cell r="AC161">
            <v>0</v>
          </cell>
          <cell r="AE161">
            <v>-11</v>
          </cell>
          <cell r="AF161">
            <v>5688497.2800000003</v>
          </cell>
          <cell r="AG161">
            <v>102071.71999999974</v>
          </cell>
          <cell r="AH161">
            <v>1.7943529718976982E-2</v>
          </cell>
          <cell r="AJ161">
            <v>5021.9275092936805</v>
          </cell>
          <cell r="AK161">
            <v>5437.1539906103289</v>
          </cell>
        </row>
        <row r="162">
          <cell r="D162">
            <v>4006</v>
          </cell>
          <cell r="E162" t="str">
            <v>Outwood Academy City</v>
          </cell>
          <cell r="F162">
            <v>1136</v>
          </cell>
          <cell r="G162">
            <v>5270833.5456432672</v>
          </cell>
          <cell r="H162">
            <v>194881.19036354107</v>
          </cell>
          <cell r="I162">
            <v>191580.78657587242</v>
          </cell>
          <cell r="J162">
            <v>431134.58605149202</v>
          </cell>
          <cell r="K162">
            <v>429882.26378492347</v>
          </cell>
          <cell r="L162">
            <v>10404.158590308372</v>
          </cell>
          <cell r="M162">
            <v>6528716.5310094049</v>
          </cell>
          <cell r="N162">
            <v>120000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29691</v>
          </cell>
          <cell r="Y162">
            <v>6678407.5310094049</v>
          </cell>
          <cell r="Z162">
            <v>0</v>
          </cell>
          <cell r="AC162">
            <v>0</v>
          </cell>
          <cell r="AE162">
            <v>32</v>
          </cell>
          <cell r="AF162">
            <v>6194913.9781707497</v>
          </cell>
          <cell r="AG162">
            <v>483493.55283865519</v>
          </cell>
          <cell r="AH162">
            <v>7.8046854975284491E-2</v>
          </cell>
          <cell r="AJ162">
            <v>5346.5551251546649</v>
          </cell>
          <cell r="AK162">
            <v>5878.8798688463075</v>
          </cell>
        </row>
        <row r="163">
          <cell r="D163">
            <v>6907</v>
          </cell>
          <cell r="E163" t="str">
            <v>Parkwood E-Act Academy</v>
          </cell>
          <cell r="F163">
            <v>815</v>
          </cell>
          <cell r="G163">
            <v>3818747.2471647142</v>
          </cell>
          <cell r="H163">
            <v>190204.04179481603</v>
          </cell>
          <cell r="I163">
            <v>194681.24937860231</v>
          </cell>
          <cell r="J163">
            <v>409473.71399855893</v>
          </cell>
          <cell r="K163">
            <v>441168.82699908415</v>
          </cell>
          <cell r="L163">
            <v>98859.096534653479</v>
          </cell>
          <cell r="M163">
            <v>5153134.1758704288</v>
          </cell>
          <cell r="N163">
            <v>120000</v>
          </cell>
          <cell r="O163">
            <v>18388.926199262016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32831</v>
          </cell>
          <cell r="Y163">
            <v>5324354.1020696899</v>
          </cell>
          <cell r="Z163">
            <v>0</v>
          </cell>
          <cell r="AC163">
            <v>0</v>
          </cell>
          <cell r="AE163">
            <v>4</v>
          </cell>
          <cell r="AF163">
            <v>5080486.3228830174</v>
          </cell>
          <cell r="AG163">
            <v>243867.77918667253</v>
          </cell>
          <cell r="AH163">
            <v>4.8000873083403006E-2</v>
          </cell>
          <cell r="AJ163">
            <v>5999.6914215573579</v>
          </cell>
          <cell r="AK163">
            <v>6532.9498184904169</v>
          </cell>
        </row>
        <row r="164">
          <cell r="D164">
            <v>6905</v>
          </cell>
          <cell r="E164" t="str">
            <v>Sheffield Park Academy</v>
          </cell>
          <cell r="F164">
            <v>1019</v>
          </cell>
          <cell r="G164">
            <v>4737289.0145097421</v>
          </cell>
          <cell r="H164">
            <v>230739.3293904326</v>
          </cell>
          <cell r="I164">
            <v>225218.82225970583</v>
          </cell>
          <cell r="J164">
            <v>535142.03283679497</v>
          </cell>
          <cell r="K164">
            <v>480679.10320619273</v>
          </cell>
          <cell r="L164">
            <v>72201.113320079545</v>
          </cell>
          <cell r="M164">
            <v>6281269.4155229479</v>
          </cell>
          <cell r="N164">
            <v>120000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32625</v>
          </cell>
          <cell r="Y164">
            <v>6433894.4155229479</v>
          </cell>
          <cell r="Z164">
            <v>0</v>
          </cell>
          <cell r="AC164">
            <v>0</v>
          </cell>
          <cell r="AE164">
            <v>-16</v>
          </cell>
          <cell r="AF164">
            <v>6364069.2825120678</v>
          </cell>
          <cell r="AG164">
            <v>69825.13301088009</v>
          </cell>
          <cell r="AH164">
            <v>1.0971774490694773E-2</v>
          </cell>
          <cell r="AJ164">
            <v>5884.0792101565876</v>
          </cell>
          <cell r="AK164">
            <v>6313.9297502678583</v>
          </cell>
        </row>
        <row r="165">
          <cell r="D165">
            <v>6906</v>
          </cell>
          <cell r="E165" t="str">
            <v>Sheffield Springs Academy</v>
          </cell>
          <cell r="F165">
            <v>865</v>
          </cell>
          <cell r="G165">
            <v>3988489.290627284</v>
          </cell>
          <cell r="H165">
            <v>227621.23034461585</v>
          </cell>
          <cell r="I165">
            <v>231624.41151468735</v>
          </cell>
          <cell r="J165">
            <v>444054.0272475534</v>
          </cell>
          <cell r="K165">
            <v>515600.84708872833</v>
          </cell>
          <cell r="L165">
            <v>80086.522004890008</v>
          </cell>
          <cell r="M165">
            <v>5487476.3288277593</v>
          </cell>
          <cell r="N165">
            <v>120000</v>
          </cell>
          <cell r="O165">
            <v>4163.4264194670059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29232</v>
          </cell>
          <cell r="Y165">
            <v>5640871.755247226</v>
          </cell>
          <cell r="Z165">
            <v>0</v>
          </cell>
          <cell r="AC165">
            <v>0</v>
          </cell>
          <cell r="AE165">
            <v>78</v>
          </cell>
          <cell r="AF165">
            <v>4920967.5429277718</v>
          </cell>
          <cell r="AG165">
            <v>719904.21231945418</v>
          </cell>
          <cell r="AH165">
            <v>0.14629322506995057</v>
          </cell>
          <cell r="AJ165">
            <v>5988.037716553712</v>
          </cell>
          <cell r="AK165">
            <v>6521.2390234071972</v>
          </cell>
        </row>
        <row r="166">
          <cell r="D166">
            <v>4229</v>
          </cell>
          <cell r="E166" t="str">
            <v>Silverdale School</v>
          </cell>
          <cell r="F166">
            <v>1076</v>
          </cell>
          <cell r="G166">
            <v>4994414.3508605808</v>
          </cell>
          <cell r="H166">
            <v>68598.179007966683</v>
          </cell>
          <cell r="I166">
            <v>74672.15217552174</v>
          </cell>
          <cell r="J166">
            <v>97291.469419657733</v>
          </cell>
          <cell r="K166">
            <v>259210.24684485843</v>
          </cell>
          <cell r="L166">
            <v>15453.191489361701</v>
          </cell>
          <cell r="M166">
            <v>5509639.5897979485</v>
          </cell>
          <cell r="N166">
            <v>120000</v>
          </cell>
          <cell r="O166">
            <v>0</v>
          </cell>
          <cell r="P166">
            <v>196900.4102020518</v>
          </cell>
          <cell r="Q166">
            <v>196900.4102020518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750603.67471443256</v>
          </cell>
          <cell r="W166">
            <v>0</v>
          </cell>
          <cell r="X166">
            <v>40573</v>
          </cell>
          <cell r="Y166">
            <v>6617716.6747144349</v>
          </cell>
          <cell r="Z166">
            <v>0</v>
          </cell>
          <cell r="AC166">
            <v>0</v>
          </cell>
          <cell r="AE166">
            <v>-1</v>
          </cell>
          <cell r="AF166">
            <v>6487160.0110957269</v>
          </cell>
          <cell r="AG166">
            <v>130556.66361870803</v>
          </cell>
          <cell r="AH166">
            <v>2.012539591984815E-2</v>
          </cell>
          <cell r="AJ166">
            <v>5758.5811987889765</v>
          </cell>
          <cell r="AK166">
            <v>6150.2943073554225</v>
          </cell>
        </row>
        <row r="167">
          <cell r="D167">
            <v>4271</v>
          </cell>
          <cell r="E167" t="str">
            <v>Stocksbridge High School</v>
          </cell>
          <cell r="F167">
            <v>800</v>
          </cell>
          <cell r="G167">
            <v>3708899.7582010715</v>
          </cell>
          <cell r="H167">
            <v>82109.941539838619</v>
          </cell>
          <cell r="I167">
            <v>85491.409691947527</v>
          </cell>
          <cell r="J167">
            <v>142991.27632898832</v>
          </cell>
          <cell r="K167">
            <v>209084.17160004759</v>
          </cell>
          <cell r="L167">
            <v>4455</v>
          </cell>
          <cell r="M167">
            <v>4233031.5573618934</v>
          </cell>
          <cell r="N167">
            <v>120000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22550</v>
          </cell>
          <cell r="Y167">
            <v>4375581.5573618934</v>
          </cell>
          <cell r="Z167">
            <v>0</v>
          </cell>
          <cell r="AC167">
            <v>0</v>
          </cell>
          <cell r="AE167">
            <v>-24</v>
          </cell>
          <cell r="AF167">
            <v>4360728.72</v>
          </cell>
          <cell r="AG167">
            <v>14852.837361893617</v>
          </cell>
          <cell r="AH167">
            <v>3.4060447956261808E-3</v>
          </cell>
          <cell r="AJ167">
            <v>5027.3665048543689</v>
          </cell>
          <cell r="AK167">
            <v>5469.4769467023671</v>
          </cell>
        </row>
        <row r="168">
          <cell r="D168">
            <v>4234</v>
          </cell>
          <cell r="E168" t="str">
            <v>Tapton School</v>
          </cell>
          <cell r="F168">
            <v>1336</v>
          </cell>
          <cell r="G168">
            <v>6199730.7597940862</v>
          </cell>
          <cell r="H168">
            <v>83149.307888444047</v>
          </cell>
          <cell r="I168">
            <v>91216.900810891064</v>
          </cell>
          <cell r="J168">
            <v>111583.38344375783</v>
          </cell>
          <cell r="K168">
            <v>324643.75898848416</v>
          </cell>
          <cell r="L168">
            <v>64143.06766917299</v>
          </cell>
          <cell r="M168">
            <v>6874467.178594836</v>
          </cell>
          <cell r="N168">
            <v>120000</v>
          </cell>
          <cell r="O168">
            <v>0</v>
          </cell>
          <cell r="P168">
            <v>239972.82140516455</v>
          </cell>
          <cell r="Q168">
            <v>239972.82140516455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453860.35888914217</v>
          </cell>
          <cell r="W168">
            <v>0</v>
          </cell>
          <cell r="X168">
            <v>47241</v>
          </cell>
          <cell r="Y168">
            <v>7735541.358889143</v>
          </cell>
          <cell r="Z168">
            <v>0</v>
          </cell>
          <cell r="AC168">
            <v>0</v>
          </cell>
          <cell r="AE168">
            <v>16</v>
          </cell>
          <cell r="AF168">
            <v>7488692.3641833775</v>
          </cell>
          <cell r="AG168">
            <v>246848.99470576551</v>
          </cell>
          <cell r="AH168">
            <v>3.29628969519946E-2</v>
          </cell>
          <cell r="AJ168">
            <v>5408.4717910480131</v>
          </cell>
          <cell r="AK168">
            <v>5790.0758674319932</v>
          </cell>
        </row>
        <row r="169">
          <cell r="D169">
            <v>4276</v>
          </cell>
          <cell r="E169" t="str">
            <v>The Birley Academy</v>
          </cell>
          <cell r="F169">
            <v>1079</v>
          </cell>
          <cell r="G169">
            <v>5005194.8113259869</v>
          </cell>
          <cell r="H169">
            <v>143952.23928186909</v>
          </cell>
          <cell r="I169">
            <v>132879.64520541887</v>
          </cell>
          <cell r="J169">
            <v>260902.08380167442</v>
          </cell>
          <cell r="K169">
            <v>514143.75618127361</v>
          </cell>
          <cell r="L169">
            <v>7425.0000000000027</v>
          </cell>
          <cell r="M169">
            <v>6064497.5357962232</v>
          </cell>
          <cell r="N169">
            <v>120000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37876</v>
          </cell>
          <cell r="Y169">
            <v>6222373.5357962232</v>
          </cell>
          <cell r="Z169">
            <v>0</v>
          </cell>
          <cell r="AA169">
            <v>163610732.83961788</v>
          </cell>
          <cell r="AC169">
            <v>0</v>
          </cell>
          <cell r="AE169">
            <v>-36</v>
          </cell>
          <cell r="AF169">
            <v>6121005.7393295607</v>
          </cell>
          <cell r="AG169">
            <v>101367.79646666255</v>
          </cell>
          <cell r="AH169">
            <v>1.6560643917606498E-2</v>
          </cell>
          <cell r="AJ169">
            <v>5224.91124603548</v>
          </cell>
          <cell r="AK169">
            <v>5766.7966040743495</v>
          </cell>
        </row>
        <row r="170">
          <cell r="D170">
            <v>4004</v>
          </cell>
          <cell r="E170" t="str">
            <v>Utc Sheffield City Centre</v>
          </cell>
          <cell r="F170">
            <v>298</v>
          </cell>
          <cell r="G170">
            <v>1428016.3875842968</v>
          </cell>
          <cell r="H170">
            <v>23385.742843624925</v>
          </cell>
          <cell r="I170">
            <v>31190.01426409425</v>
          </cell>
          <cell r="J170">
            <v>76188.212093054201</v>
          </cell>
          <cell r="K170">
            <v>104752.87682114309</v>
          </cell>
          <cell r="L170">
            <v>6730.4942965779592</v>
          </cell>
          <cell r="M170">
            <v>1670263.7279027912</v>
          </cell>
          <cell r="N170">
            <v>120000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28971</v>
          </cell>
          <cell r="Y170">
            <v>1819234.7279027912</v>
          </cell>
          <cell r="Z170">
            <v>0</v>
          </cell>
          <cell r="AA170">
            <v>3286689.2497386034</v>
          </cell>
          <cell r="AC170">
            <v>0</v>
          </cell>
          <cell r="AE170">
            <v>-6</v>
          </cell>
          <cell r="AF170">
            <v>1808113.0904225088</v>
          </cell>
          <cell r="AG170">
            <v>11121.637480282458</v>
          </cell>
          <cell r="AH170">
            <v>6.1509634210344779E-3</v>
          </cell>
          <cell r="AJ170">
            <v>5682.9604290214111</v>
          </cell>
          <cell r="AK170">
            <v>6104.8145231637291</v>
          </cell>
        </row>
        <row r="171">
          <cell r="D171">
            <v>4010</v>
          </cell>
          <cell r="E171" t="str">
            <v>UTC Sheffield Olympic Legacy Park</v>
          </cell>
          <cell r="F171">
            <v>297</v>
          </cell>
          <cell r="G171">
            <v>1430301.1993583716</v>
          </cell>
          <cell r="H171">
            <v>34299.089503983181</v>
          </cell>
          <cell r="I171">
            <v>38197.892536166139</v>
          </cell>
          <cell r="J171">
            <v>92152.703977670622</v>
          </cell>
          <cell r="K171">
            <v>95298.157890473638</v>
          </cell>
          <cell r="L171">
            <v>15421.153846153862</v>
          </cell>
          <cell r="M171">
            <v>1705670.1971128189</v>
          </cell>
          <cell r="N171">
            <v>120000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27927</v>
          </cell>
          <cell r="Y171">
            <v>1853597.1971128189</v>
          </cell>
          <cell r="Z171">
            <v>0</v>
          </cell>
          <cell r="AA171">
            <v>5868141.3222518498</v>
          </cell>
          <cell r="AC171">
            <v>0</v>
          </cell>
          <cell r="AE171">
            <v>-4</v>
          </cell>
          <cell r="AF171">
            <v>1799528.1093301354</v>
          </cell>
          <cell r="AG171">
            <v>54069.087782683549</v>
          </cell>
          <cell r="AH171">
            <v>3.0046259073335885E-2</v>
          </cell>
          <cell r="AJ171">
            <v>5713.7187020934734</v>
          </cell>
          <cell r="AK171">
            <v>6241.0680037468655</v>
          </cell>
        </row>
        <row r="172">
          <cell r="D172">
            <v>4013</v>
          </cell>
          <cell r="E172" t="str">
            <v>Westfield School</v>
          </cell>
          <cell r="F172">
            <v>1142</v>
          </cell>
          <cell r="G172">
            <v>5283881.0686076358</v>
          </cell>
          <cell r="H172">
            <v>114849.98152091361</v>
          </cell>
          <cell r="I172">
            <v>113071.71724523959</v>
          </cell>
          <cell r="J172">
            <v>180585.16916513158</v>
          </cell>
          <cell r="K172">
            <v>464572.99365840422</v>
          </cell>
          <cell r="L172">
            <v>2975.2105263157882</v>
          </cell>
          <cell r="M172">
            <v>6159936.1407236401</v>
          </cell>
          <cell r="N172">
            <v>120000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443723.26745510654</v>
          </cell>
          <cell r="W172">
            <v>0</v>
          </cell>
          <cell r="X172">
            <v>55332</v>
          </cell>
          <cell r="Y172">
            <v>6778991.4081787467</v>
          </cell>
          <cell r="Z172">
            <v>0</v>
          </cell>
          <cell r="AA172">
            <v>2832628.2233546884</v>
          </cell>
          <cell r="AC172">
            <v>0</v>
          </cell>
          <cell r="AE172">
            <v>-19</v>
          </cell>
          <cell r="AF172">
            <v>6639013.5786773264</v>
          </cell>
          <cell r="AG172">
            <v>139977.82950142026</v>
          </cell>
          <cell r="AH172">
            <v>2.1084130623107971E-2</v>
          </cell>
          <cell r="AJ172">
            <v>5453.5779489038123</v>
          </cell>
          <cell r="AK172">
            <v>5936.0695343071338</v>
          </cell>
        </row>
        <row r="173">
          <cell r="D173">
            <v>4016</v>
          </cell>
          <cell r="E173" t="str">
            <v>Yewlands Academy</v>
          </cell>
          <cell r="F173">
            <v>868</v>
          </cell>
          <cell r="G173">
            <v>4032715.24310371</v>
          </cell>
          <cell r="H173">
            <v>143952.23928186914</v>
          </cell>
          <cell r="I173">
            <v>140761.67763199503</v>
          </cell>
          <cell r="J173">
            <v>333195.29952330468</v>
          </cell>
          <cell r="K173">
            <v>359281.57497528702</v>
          </cell>
          <cell r="L173">
            <v>4496.4418604651219</v>
          </cell>
          <cell r="M173">
            <v>5014402.4763766313</v>
          </cell>
          <cell r="N173">
            <v>120000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27200</v>
          </cell>
          <cell r="Y173">
            <v>5161602.4763766313</v>
          </cell>
          <cell r="Z173">
            <v>0</v>
          </cell>
          <cell r="AA173">
            <v>175598191.63496304</v>
          </cell>
          <cell r="AC173">
            <v>0</v>
          </cell>
          <cell r="AE173">
            <v>-11</v>
          </cell>
          <cell r="AF173">
            <v>5035202.2917111535</v>
          </cell>
          <cell r="AG173">
            <v>126400.18466547783</v>
          </cell>
          <cell r="AH173">
            <v>2.5103298207810879E-2</v>
          </cell>
          <cell r="AJ173">
            <v>5463.550252231119</v>
          </cell>
          <cell r="AK173">
            <v>5946.5466317703122</v>
          </cell>
        </row>
      </sheetData>
      <sheetData sheetId="31"/>
      <sheetData sheetId="32"/>
      <sheetData sheetId="33">
        <row r="5">
          <cell r="E5">
            <v>3412.8685792877927</v>
          </cell>
        </row>
      </sheetData>
      <sheetData sheetId="34"/>
      <sheetData sheetId="3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 Budget 2020 21 Maintained"/>
      <sheetName val="IR Budget 2021 22"/>
      <sheetName val="IR Budget 2021 22 funding rate"/>
      <sheetName val="IR Budget 2021 22 Academies"/>
      <sheetName val="Cascade Sep-Mar"/>
      <sheetName val="AY20-21 Places"/>
      <sheetName val="A4 Sheet"/>
      <sheetName val="BACS Apr-Aug"/>
      <sheetName val="High_needs_deductions"/>
      <sheetName val="A4"/>
      <sheetName val="email"/>
    </sheetNames>
    <sheetDataSet>
      <sheetData sheetId="0"/>
      <sheetData sheetId="1">
        <row r="1">
          <cell r="D1" t="str">
            <v>Indicative IR Budgets 2021/22</v>
          </cell>
        </row>
      </sheetData>
      <sheetData sheetId="2">
        <row r="14">
          <cell r="J14">
            <v>14525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17 18 "/>
      <sheetName val="Model 2017 18"/>
      <sheetName val="Jackys sheet"/>
      <sheetName val="Budget 2017 18  (2)"/>
      <sheetName val="Budget 2017 18"/>
    </sheetNames>
    <sheetDataSet>
      <sheetData sheetId="0">
        <row r="16">
          <cell r="K16">
            <v>2472590.2364222007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9-20 submitted baselines"/>
      <sheetName val="19-20 HN places"/>
      <sheetName val="Proposed Free Schools"/>
      <sheetName val="Inputs &amp; Adjustments"/>
      <sheetName val="Local Factors"/>
      <sheetName val="Adjusted Factors"/>
      <sheetName val="19-20 final baselines"/>
      <sheetName val="Commentary"/>
      <sheetName val="ProformaAggregation"/>
      <sheetName val="Proforma"/>
      <sheetName val="Block transfers"/>
      <sheetName val="De Delegation"/>
      <sheetName val="Education Functions"/>
      <sheetName val="New ISB"/>
      <sheetName val="School level SB"/>
      <sheetName val="Recoupment"/>
      <sheetName val="Validation sheet"/>
      <sheetName val="202021_P2_APT_373_Sheffieldv1"/>
    </sheetNames>
    <sheetDataSet>
      <sheetData sheetId="0"/>
      <sheetData sheetId="1"/>
      <sheetData sheetId="2">
        <row r="1">
          <cell r="B1">
            <v>0</v>
          </cell>
        </row>
      </sheetData>
      <sheetData sheetId="3"/>
      <sheetData sheetId="4">
        <row r="4">
          <cell r="A4" t="str">
            <v>LA Estab</v>
          </cell>
        </row>
      </sheetData>
      <sheetData sheetId="5"/>
      <sheetData sheetId="6">
        <row r="6">
          <cell r="DC6" t="str">
            <v>School closed prior to 1 April 2020</v>
          </cell>
        </row>
        <row r="7">
          <cell r="DC7" t="str">
            <v>New School opening prior to 1 April 2020</v>
          </cell>
        </row>
        <row r="8">
          <cell r="DC8" t="str">
            <v>New School opening after 1 April 2020</v>
          </cell>
        </row>
        <row r="9">
          <cell r="DC9" t="str">
            <v>Amalgamation of schools by 1 April 2020</v>
          </cell>
        </row>
        <row r="10">
          <cell r="DC10" t="str">
            <v>Change in pupil numbers/factors</v>
          </cell>
        </row>
        <row r="11">
          <cell r="DC11" t="str">
            <v>Conversion to academy status prior to 6 January 2020</v>
          </cell>
        </row>
        <row r="12">
          <cell r="DC12" t="str">
            <v>New Academy/Free School</v>
          </cell>
        </row>
        <row r="13">
          <cell r="DC13" t="str">
            <v>Other</v>
          </cell>
        </row>
      </sheetData>
      <sheetData sheetId="7">
        <row r="5">
          <cell r="AA5">
            <v>0</v>
          </cell>
        </row>
      </sheetData>
      <sheetData sheetId="8">
        <row r="1">
          <cell r="E1">
            <v>0</v>
          </cell>
        </row>
      </sheetData>
      <sheetData sheetId="9"/>
      <sheetData sheetId="10"/>
      <sheetData sheetId="11"/>
      <sheetData sheetId="12">
        <row r="9">
          <cell r="D9">
            <v>3750</v>
          </cell>
          <cell r="E9">
            <v>4800</v>
          </cell>
          <cell r="G9">
            <v>5300</v>
          </cell>
          <cell r="I9">
            <v>5000</v>
          </cell>
        </row>
        <row r="12">
          <cell r="E12" t="str">
            <v>No</v>
          </cell>
        </row>
        <row r="14">
          <cell r="E14">
            <v>3057.3489329681061</v>
          </cell>
          <cell r="L14">
            <v>0.04</v>
          </cell>
        </row>
        <row r="15">
          <cell r="E15">
            <v>3893.6676688242901</v>
          </cell>
          <cell r="L15">
            <v>0.04</v>
          </cell>
        </row>
        <row r="16">
          <cell r="E16">
            <v>4746.8435620475175</v>
          </cell>
          <cell r="L16">
            <v>0.04</v>
          </cell>
        </row>
        <row r="18">
          <cell r="E18">
            <v>350.00262963983187</v>
          </cell>
          <cell r="F18">
            <v>566.51169769693479</v>
          </cell>
          <cell r="L18">
            <v>0.5</v>
          </cell>
          <cell r="M18">
            <v>0.5</v>
          </cell>
        </row>
        <row r="19">
          <cell r="E19">
            <v>280.19382769852422</v>
          </cell>
          <cell r="F19">
            <v>377.88833993315461</v>
          </cell>
          <cell r="L19">
            <v>0.5</v>
          </cell>
          <cell r="M19">
            <v>0.5</v>
          </cell>
        </row>
        <row r="20">
          <cell r="E20">
            <v>156.72936237447038</v>
          </cell>
          <cell r="F20">
            <v>251.00798225734621</v>
          </cell>
          <cell r="L20">
            <v>0.5</v>
          </cell>
          <cell r="M20">
            <v>0.5</v>
          </cell>
        </row>
        <row r="21">
          <cell r="E21">
            <v>156.72936237447038</v>
          </cell>
          <cell r="F21">
            <v>251.00798225734621</v>
          </cell>
          <cell r="L21">
            <v>0.5</v>
          </cell>
          <cell r="M21">
            <v>0.5</v>
          </cell>
        </row>
        <row r="22">
          <cell r="E22">
            <v>235.09404356170558</v>
          </cell>
          <cell r="F22">
            <v>376.51197338601935</v>
          </cell>
          <cell r="L22">
            <v>0.5</v>
          </cell>
          <cell r="M22">
            <v>0.5</v>
          </cell>
        </row>
        <row r="23">
          <cell r="E23">
            <v>313.45872474894077</v>
          </cell>
          <cell r="F23">
            <v>502.01596451469243</v>
          </cell>
          <cell r="L23">
            <v>0.5</v>
          </cell>
          <cell r="M23">
            <v>0.5</v>
          </cell>
        </row>
        <row r="24">
          <cell r="E24">
            <v>391.82340593617596</v>
          </cell>
          <cell r="F24">
            <v>627.51995564336551</v>
          </cell>
          <cell r="L24">
            <v>0.5</v>
          </cell>
          <cell r="M24">
            <v>0.5</v>
          </cell>
        </row>
        <row r="25">
          <cell r="E25">
            <v>548.55276831064634</v>
          </cell>
          <cell r="F25">
            <v>878.52793790071178</v>
          </cell>
          <cell r="L25">
            <v>0.5</v>
          </cell>
          <cell r="M25">
            <v>0.5</v>
          </cell>
        </row>
        <row r="27">
          <cell r="E27">
            <v>0</v>
          </cell>
          <cell r="L27">
            <v>0</v>
          </cell>
        </row>
        <row r="28">
          <cell r="D28" t="str">
            <v>EAL 3 Primary</v>
          </cell>
          <cell r="E28">
            <v>508.33883657520101</v>
          </cell>
          <cell r="L28">
            <v>0</v>
          </cell>
        </row>
        <row r="29">
          <cell r="D29" t="str">
            <v>EAL 3 Secondary</v>
          </cell>
          <cell r="F29">
            <v>1438.7984236333368</v>
          </cell>
          <cell r="M29">
            <v>0</v>
          </cell>
        </row>
        <row r="30">
          <cell r="E30">
            <v>918.82526549396277</v>
          </cell>
          <cell r="F30">
            <v>1380.2510154485465</v>
          </cell>
          <cell r="L30">
            <v>0</v>
          </cell>
          <cell r="M30">
            <v>0</v>
          </cell>
        </row>
        <row r="32">
          <cell r="F32">
            <v>1157.2004110868215</v>
          </cell>
          <cell r="L32">
            <v>1</v>
          </cell>
        </row>
        <row r="33">
          <cell r="F33">
            <v>1487.1247266156831</v>
          </cell>
          <cell r="M33">
            <v>1</v>
          </cell>
        </row>
        <row r="43">
          <cell r="F43">
            <v>120000</v>
          </cell>
          <cell r="G43">
            <v>120000</v>
          </cell>
          <cell r="L43">
            <v>0</v>
          </cell>
          <cell r="M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</row>
        <row r="46">
          <cell r="D46">
            <v>0</v>
          </cell>
          <cell r="G46">
            <v>0</v>
          </cell>
          <cell r="K46" t="str">
            <v>Fixed</v>
          </cell>
        </row>
        <row r="47">
          <cell r="D47">
            <v>0</v>
          </cell>
          <cell r="G47">
            <v>0</v>
          </cell>
          <cell r="K47" t="str">
            <v>Fixed</v>
          </cell>
        </row>
        <row r="48">
          <cell r="D48">
            <v>0</v>
          </cell>
          <cell r="G48">
            <v>0</v>
          </cell>
          <cell r="K48" t="str">
            <v>Fixed</v>
          </cell>
        </row>
        <row r="49">
          <cell r="D49">
            <v>0</v>
          </cell>
          <cell r="G49">
            <v>0</v>
          </cell>
          <cell r="K49" t="str">
            <v>Fixed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6">
          <cell r="L66">
            <v>0</v>
          </cell>
        </row>
        <row r="69">
          <cell r="H69">
            <v>1.84E-2</v>
          </cell>
        </row>
        <row r="71">
          <cell r="J71" t="str">
            <v>No</v>
          </cell>
        </row>
        <row r="72">
          <cell r="D72">
            <v>0</v>
          </cell>
          <cell r="G72">
            <v>0</v>
          </cell>
        </row>
        <row r="76">
          <cell r="L76">
            <v>0</v>
          </cell>
        </row>
      </sheetData>
      <sheetData sheetId="13"/>
      <sheetData sheetId="14">
        <row r="8">
          <cell r="X8">
            <v>29.17</v>
          </cell>
        </row>
        <row r="9">
          <cell r="Y9">
            <v>23</v>
          </cell>
        </row>
        <row r="10">
          <cell r="X10">
            <v>0</v>
          </cell>
          <cell r="Y10">
            <v>0</v>
          </cell>
        </row>
        <row r="11">
          <cell r="X11">
            <v>0</v>
          </cell>
          <cell r="Y11">
            <v>0</v>
          </cell>
        </row>
        <row r="12">
          <cell r="X12">
            <v>0</v>
          </cell>
          <cell r="Y12">
            <v>0</v>
          </cell>
        </row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</row>
        <row r="15">
          <cell r="X15">
            <v>0</v>
          </cell>
          <cell r="Y15">
            <v>0</v>
          </cell>
        </row>
        <row r="16">
          <cell r="X16">
            <v>0</v>
          </cell>
          <cell r="Y16">
            <v>0</v>
          </cell>
        </row>
        <row r="17">
          <cell r="X17">
            <v>0</v>
          </cell>
          <cell r="Y17">
            <v>0</v>
          </cell>
        </row>
        <row r="18">
          <cell r="X18">
            <v>0</v>
          </cell>
          <cell r="Y18">
            <v>0</v>
          </cell>
        </row>
        <row r="19">
          <cell r="X19">
            <v>0</v>
          </cell>
        </row>
        <row r="20">
          <cell r="Y20">
            <v>0</v>
          </cell>
        </row>
        <row r="21">
          <cell r="X21">
            <v>0</v>
          </cell>
        </row>
        <row r="22">
          <cell r="Y22">
            <v>0</v>
          </cell>
        </row>
        <row r="23">
          <cell r="X23">
            <v>0</v>
          </cell>
          <cell r="Y23">
            <v>0</v>
          </cell>
        </row>
        <row r="24">
          <cell r="X24">
            <v>0</v>
          </cell>
          <cell r="Y24">
            <v>0</v>
          </cell>
        </row>
        <row r="26">
          <cell r="X26">
            <v>0</v>
          </cell>
          <cell r="Y26">
            <v>0</v>
          </cell>
        </row>
      </sheetData>
      <sheetData sheetId="15"/>
      <sheetData sheetId="16">
        <row r="1">
          <cell r="C1">
            <v>0</v>
          </cell>
        </row>
        <row r="5">
          <cell r="AH5">
            <v>19560000</v>
          </cell>
          <cell r="AI5">
            <v>0</v>
          </cell>
          <cell r="AJ5">
            <v>0</v>
          </cell>
          <cell r="AK5">
            <v>696409.50815488049</v>
          </cell>
          <cell r="AL5">
            <v>3334297.8</v>
          </cell>
          <cell r="AM5">
            <v>6404288.4117871448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X5">
            <v>51597575.75147213</v>
          </cell>
          <cell r="BC5">
            <v>818931.95457557891</v>
          </cell>
          <cell r="BD5">
            <v>1782797.4402073775</v>
          </cell>
          <cell r="BF5">
            <v>191357467.05438381</v>
          </cell>
          <cell r="BG5">
            <v>158890748.22233951</v>
          </cell>
          <cell r="BO5">
            <v>648294.72690099815</v>
          </cell>
        </row>
        <row r="6">
          <cell r="C6">
            <v>3732001</v>
          </cell>
        </row>
        <row r="7">
          <cell r="C7">
            <v>3732014</v>
          </cell>
        </row>
        <row r="8">
          <cell r="C8">
            <v>3732023</v>
          </cell>
        </row>
        <row r="9">
          <cell r="C9">
            <v>3732036</v>
          </cell>
        </row>
        <row r="10">
          <cell r="C10">
            <v>3732040</v>
          </cell>
        </row>
        <row r="11">
          <cell r="C11">
            <v>3732058</v>
          </cell>
        </row>
        <row r="12">
          <cell r="C12">
            <v>3732060</v>
          </cell>
        </row>
        <row r="13">
          <cell r="C13">
            <v>3732063</v>
          </cell>
        </row>
        <row r="14">
          <cell r="C14">
            <v>3732070</v>
          </cell>
        </row>
        <row r="15">
          <cell r="C15">
            <v>3732071</v>
          </cell>
        </row>
        <row r="16">
          <cell r="C16">
            <v>3732072</v>
          </cell>
        </row>
        <row r="17">
          <cell r="C17">
            <v>3732079</v>
          </cell>
        </row>
        <row r="18">
          <cell r="C18">
            <v>3732080</v>
          </cell>
        </row>
        <row r="19">
          <cell r="C19">
            <v>3732081</v>
          </cell>
        </row>
        <row r="20">
          <cell r="C20">
            <v>3732087</v>
          </cell>
        </row>
        <row r="21">
          <cell r="C21">
            <v>3732092</v>
          </cell>
        </row>
        <row r="22">
          <cell r="C22">
            <v>3732093</v>
          </cell>
        </row>
        <row r="23">
          <cell r="C23">
            <v>3732139</v>
          </cell>
        </row>
        <row r="24">
          <cell r="C24">
            <v>3732206</v>
          </cell>
        </row>
        <row r="25">
          <cell r="C25">
            <v>3732213</v>
          </cell>
        </row>
        <row r="26">
          <cell r="C26">
            <v>3732221</v>
          </cell>
        </row>
        <row r="27">
          <cell r="C27">
            <v>3732233</v>
          </cell>
        </row>
        <row r="28">
          <cell r="C28">
            <v>3732239</v>
          </cell>
        </row>
        <row r="29">
          <cell r="C29">
            <v>3732241</v>
          </cell>
        </row>
        <row r="30">
          <cell r="C30">
            <v>3732246</v>
          </cell>
        </row>
        <row r="31">
          <cell r="C31">
            <v>3732252</v>
          </cell>
        </row>
        <row r="32">
          <cell r="C32">
            <v>3732257</v>
          </cell>
        </row>
        <row r="33">
          <cell r="C33">
            <v>3732261</v>
          </cell>
        </row>
        <row r="34">
          <cell r="C34">
            <v>3732272</v>
          </cell>
        </row>
        <row r="35">
          <cell r="C35">
            <v>3732279</v>
          </cell>
        </row>
        <row r="36">
          <cell r="C36">
            <v>3732281</v>
          </cell>
        </row>
        <row r="37">
          <cell r="C37">
            <v>3732283</v>
          </cell>
        </row>
        <row r="38">
          <cell r="C38">
            <v>3732296</v>
          </cell>
        </row>
        <row r="39">
          <cell r="C39">
            <v>3732297</v>
          </cell>
        </row>
        <row r="40">
          <cell r="C40">
            <v>3732302</v>
          </cell>
        </row>
        <row r="41">
          <cell r="C41">
            <v>3732303</v>
          </cell>
        </row>
        <row r="42">
          <cell r="C42">
            <v>3732306</v>
          </cell>
        </row>
        <row r="43">
          <cell r="C43">
            <v>3732312</v>
          </cell>
        </row>
        <row r="44">
          <cell r="C44">
            <v>3732319</v>
          </cell>
        </row>
        <row r="45">
          <cell r="C45">
            <v>3732322</v>
          </cell>
        </row>
        <row r="46">
          <cell r="C46">
            <v>3732325</v>
          </cell>
        </row>
        <row r="47">
          <cell r="C47">
            <v>3732327</v>
          </cell>
        </row>
        <row r="48">
          <cell r="C48">
            <v>3732329</v>
          </cell>
        </row>
        <row r="49">
          <cell r="C49">
            <v>3732334</v>
          </cell>
        </row>
        <row r="50">
          <cell r="C50">
            <v>3732338</v>
          </cell>
        </row>
        <row r="51">
          <cell r="C51">
            <v>3732340</v>
          </cell>
        </row>
        <row r="52">
          <cell r="C52">
            <v>3732342</v>
          </cell>
        </row>
        <row r="53">
          <cell r="C53">
            <v>3732343</v>
          </cell>
        </row>
        <row r="54">
          <cell r="C54">
            <v>3732344</v>
          </cell>
        </row>
        <row r="55">
          <cell r="C55">
            <v>3732347</v>
          </cell>
        </row>
        <row r="56">
          <cell r="C56">
            <v>3732349</v>
          </cell>
        </row>
        <row r="57">
          <cell r="C57">
            <v>3732350</v>
          </cell>
        </row>
        <row r="58">
          <cell r="C58">
            <v>3732351</v>
          </cell>
        </row>
        <row r="59">
          <cell r="C59">
            <v>3732352</v>
          </cell>
        </row>
        <row r="60">
          <cell r="C60">
            <v>3732356</v>
          </cell>
        </row>
        <row r="61">
          <cell r="C61">
            <v>3732358</v>
          </cell>
        </row>
        <row r="62">
          <cell r="C62">
            <v>3732360</v>
          </cell>
        </row>
        <row r="63">
          <cell r="C63">
            <v>3732364</v>
          </cell>
        </row>
        <row r="64">
          <cell r="C64">
            <v>3732369</v>
          </cell>
        </row>
        <row r="65">
          <cell r="C65">
            <v>3733010</v>
          </cell>
        </row>
        <row r="66">
          <cell r="C66">
            <v>3733422</v>
          </cell>
        </row>
        <row r="67">
          <cell r="C67">
            <v>3733428</v>
          </cell>
        </row>
        <row r="68">
          <cell r="C68">
            <v>3733429</v>
          </cell>
        </row>
        <row r="69">
          <cell r="C69">
            <v>3733432</v>
          </cell>
        </row>
        <row r="70">
          <cell r="C70">
            <v>3733433</v>
          </cell>
        </row>
        <row r="71">
          <cell r="C71">
            <v>3735200</v>
          </cell>
        </row>
        <row r="72">
          <cell r="C72">
            <v>3735204</v>
          </cell>
        </row>
        <row r="73">
          <cell r="C73">
            <v>3735208</v>
          </cell>
        </row>
        <row r="74">
          <cell r="C74">
            <v>3734259</v>
          </cell>
        </row>
        <row r="75">
          <cell r="C75">
            <v>3732002</v>
          </cell>
        </row>
        <row r="76">
          <cell r="C76">
            <v>3732009</v>
          </cell>
        </row>
        <row r="77">
          <cell r="C77">
            <v>3732010</v>
          </cell>
        </row>
        <row r="78">
          <cell r="C78">
            <v>3732012</v>
          </cell>
        </row>
        <row r="79">
          <cell r="C79">
            <v>3732013</v>
          </cell>
        </row>
        <row r="80">
          <cell r="C80">
            <v>3732016</v>
          </cell>
        </row>
        <row r="81">
          <cell r="C81">
            <v>3732017</v>
          </cell>
        </row>
        <row r="82">
          <cell r="C82">
            <v>3732018</v>
          </cell>
        </row>
        <row r="83">
          <cell r="C83">
            <v>3732019</v>
          </cell>
        </row>
        <row r="84">
          <cell r="C84">
            <v>3732020</v>
          </cell>
        </row>
        <row r="85">
          <cell r="C85">
            <v>3732024</v>
          </cell>
        </row>
        <row r="86">
          <cell r="C86">
            <v>3732026</v>
          </cell>
        </row>
        <row r="87">
          <cell r="C87">
            <v>3732027</v>
          </cell>
        </row>
        <row r="88">
          <cell r="C88">
            <v>3732028</v>
          </cell>
        </row>
        <row r="89">
          <cell r="C89">
            <v>3732029</v>
          </cell>
        </row>
        <row r="90">
          <cell r="C90">
            <v>3732034</v>
          </cell>
        </row>
        <row r="91">
          <cell r="C91">
            <v>3732039</v>
          </cell>
        </row>
        <row r="92">
          <cell r="C92">
            <v>3732042</v>
          </cell>
        </row>
        <row r="93">
          <cell r="C93">
            <v>3732043</v>
          </cell>
        </row>
        <row r="94">
          <cell r="C94">
            <v>3732045</v>
          </cell>
        </row>
        <row r="95">
          <cell r="C95">
            <v>3732046</v>
          </cell>
        </row>
        <row r="96">
          <cell r="C96">
            <v>3732048</v>
          </cell>
        </row>
        <row r="97">
          <cell r="C97">
            <v>3732049</v>
          </cell>
        </row>
        <row r="98">
          <cell r="C98">
            <v>3732050</v>
          </cell>
        </row>
        <row r="99">
          <cell r="C99">
            <v>3732051</v>
          </cell>
        </row>
        <row r="100">
          <cell r="C100">
            <v>3732095</v>
          </cell>
        </row>
        <row r="101">
          <cell r="C101">
            <v>3732203</v>
          </cell>
        </row>
        <row r="102">
          <cell r="C102">
            <v>3732230</v>
          </cell>
        </row>
        <row r="103">
          <cell r="C103">
            <v>3732274</v>
          </cell>
        </row>
        <row r="104">
          <cell r="C104">
            <v>3732292</v>
          </cell>
        </row>
        <row r="105">
          <cell r="C105">
            <v>3732294</v>
          </cell>
        </row>
        <row r="106">
          <cell r="C106">
            <v>3732298</v>
          </cell>
        </row>
        <row r="107">
          <cell r="C107">
            <v>3732305</v>
          </cell>
        </row>
        <row r="108">
          <cell r="C108">
            <v>3732309</v>
          </cell>
        </row>
        <row r="109">
          <cell r="C109">
            <v>3732311</v>
          </cell>
        </row>
        <row r="110">
          <cell r="C110">
            <v>3732313</v>
          </cell>
        </row>
        <row r="111">
          <cell r="C111">
            <v>3732315</v>
          </cell>
        </row>
        <row r="112">
          <cell r="C112">
            <v>3732321</v>
          </cell>
        </row>
        <row r="113">
          <cell r="C113">
            <v>3732323</v>
          </cell>
        </row>
        <row r="114">
          <cell r="C114">
            <v>3732324</v>
          </cell>
        </row>
        <row r="115">
          <cell r="C115">
            <v>3732328</v>
          </cell>
        </row>
        <row r="116">
          <cell r="C116">
            <v>3732332</v>
          </cell>
        </row>
        <row r="117">
          <cell r="C117">
            <v>3732337</v>
          </cell>
        </row>
        <row r="118">
          <cell r="C118">
            <v>3732339</v>
          </cell>
        </row>
        <row r="119">
          <cell r="C119">
            <v>3732341</v>
          </cell>
        </row>
        <row r="120">
          <cell r="C120">
            <v>3732346</v>
          </cell>
        </row>
        <row r="121">
          <cell r="C121">
            <v>3732353</v>
          </cell>
        </row>
        <row r="122">
          <cell r="C122">
            <v>3732354</v>
          </cell>
        </row>
        <row r="123">
          <cell r="C123">
            <v>3732357</v>
          </cell>
        </row>
        <row r="124">
          <cell r="C124">
            <v>3732359</v>
          </cell>
        </row>
        <row r="125">
          <cell r="C125">
            <v>3732361</v>
          </cell>
        </row>
        <row r="126">
          <cell r="C126">
            <v>3732363</v>
          </cell>
        </row>
        <row r="127">
          <cell r="C127">
            <v>3732366</v>
          </cell>
        </row>
        <row r="128">
          <cell r="C128">
            <v>3733401</v>
          </cell>
        </row>
        <row r="129">
          <cell r="C129">
            <v>3733402</v>
          </cell>
        </row>
        <row r="130">
          <cell r="C130">
            <v>3733406</v>
          </cell>
        </row>
        <row r="131">
          <cell r="C131">
            <v>3733412</v>
          </cell>
        </row>
        <row r="132">
          <cell r="C132">
            <v>3733414</v>
          </cell>
        </row>
        <row r="133">
          <cell r="C133">
            <v>3733423</v>
          </cell>
        </row>
        <row r="134">
          <cell r="C134">
            <v>3733424</v>
          </cell>
        </row>
        <row r="135">
          <cell r="C135">
            <v>3733427</v>
          </cell>
        </row>
        <row r="136">
          <cell r="C136">
            <v>3735202</v>
          </cell>
        </row>
        <row r="137">
          <cell r="C137">
            <v>3735203</v>
          </cell>
        </row>
        <row r="138">
          <cell r="C138">
            <v>3735207</v>
          </cell>
        </row>
        <row r="139">
          <cell r="C139">
            <v>3734000</v>
          </cell>
        </row>
        <row r="140">
          <cell r="C140">
            <v>3734003</v>
          </cell>
        </row>
        <row r="141">
          <cell r="C141">
            <v>3734004</v>
          </cell>
        </row>
        <row r="142">
          <cell r="C142">
            <v>3734006</v>
          </cell>
        </row>
        <row r="143">
          <cell r="C143">
            <v>3734007</v>
          </cell>
        </row>
        <row r="144">
          <cell r="C144">
            <v>3734008</v>
          </cell>
        </row>
        <row r="145">
          <cell r="C145">
            <v>3734010</v>
          </cell>
        </row>
        <row r="146">
          <cell r="C146">
            <v>3734012</v>
          </cell>
        </row>
        <row r="147">
          <cell r="C147">
            <v>3734013</v>
          </cell>
        </row>
        <row r="148">
          <cell r="C148">
            <v>3734015</v>
          </cell>
        </row>
        <row r="149">
          <cell r="C149">
            <v>3734016</v>
          </cell>
        </row>
        <row r="150">
          <cell r="C150">
            <v>3734229</v>
          </cell>
        </row>
        <row r="151">
          <cell r="C151">
            <v>3734230</v>
          </cell>
        </row>
        <row r="152">
          <cell r="C152">
            <v>3734234</v>
          </cell>
        </row>
        <row r="153">
          <cell r="C153">
            <v>3734257</v>
          </cell>
        </row>
        <row r="154">
          <cell r="C154">
            <v>3734271</v>
          </cell>
        </row>
        <row r="155">
          <cell r="C155">
            <v>3734272</v>
          </cell>
        </row>
        <row r="156">
          <cell r="C156">
            <v>3734276</v>
          </cell>
        </row>
        <row r="157">
          <cell r="C157">
            <v>3734278</v>
          </cell>
        </row>
        <row r="158">
          <cell r="C158">
            <v>3734279</v>
          </cell>
        </row>
        <row r="159">
          <cell r="C159">
            <v>3734280</v>
          </cell>
        </row>
        <row r="160">
          <cell r="C160">
            <v>3735400</v>
          </cell>
        </row>
        <row r="161">
          <cell r="C161">
            <v>3735401</v>
          </cell>
        </row>
        <row r="162">
          <cell r="C162">
            <v>3736905</v>
          </cell>
        </row>
        <row r="163">
          <cell r="C163">
            <v>3736906</v>
          </cell>
        </row>
        <row r="164">
          <cell r="C164">
            <v>3736907</v>
          </cell>
        </row>
        <row r="165">
          <cell r="C165">
            <v>3734005</v>
          </cell>
        </row>
        <row r="166">
          <cell r="C166">
            <v>3734014</v>
          </cell>
        </row>
        <row r="167">
          <cell r="C167">
            <v>3734225</v>
          </cell>
        </row>
        <row r="168">
          <cell r="C168">
            <v>3735206</v>
          </cell>
        </row>
        <row r="169">
          <cell r="C169" t="str">
            <v/>
          </cell>
        </row>
        <row r="170">
          <cell r="C170" t="str">
            <v/>
          </cell>
        </row>
        <row r="171">
          <cell r="C171" t="str">
            <v/>
          </cell>
        </row>
        <row r="172">
          <cell r="C172" t="str">
            <v/>
          </cell>
        </row>
        <row r="173">
          <cell r="C173" t="str">
            <v/>
          </cell>
        </row>
        <row r="174">
          <cell r="C174" t="str">
            <v/>
          </cell>
        </row>
        <row r="175">
          <cell r="C175" t="str">
            <v/>
          </cell>
        </row>
        <row r="176">
          <cell r="C176" t="str">
            <v/>
          </cell>
        </row>
        <row r="177">
          <cell r="C177" t="str">
            <v/>
          </cell>
        </row>
        <row r="178">
          <cell r="C178" t="str">
            <v/>
          </cell>
        </row>
        <row r="179">
          <cell r="C179" t="str">
            <v/>
          </cell>
        </row>
        <row r="180">
          <cell r="C180" t="str">
            <v/>
          </cell>
        </row>
        <row r="181">
          <cell r="C181" t="str">
            <v/>
          </cell>
        </row>
        <row r="182">
          <cell r="C182" t="str">
            <v/>
          </cell>
        </row>
        <row r="183">
          <cell r="C183" t="str">
            <v/>
          </cell>
        </row>
        <row r="184">
          <cell r="C184" t="str">
            <v/>
          </cell>
        </row>
        <row r="185">
          <cell r="C185" t="str">
            <v/>
          </cell>
        </row>
        <row r="186">
          <cell r="C186" t="str">
            <v/>
          </cell>
        </row>
        <row r="187">
          <cell r="C187" t="str">
            <v/>
          </cell>
        </row>
        <row r="188">
          <cell r="C188" t="str">
            <v/>
          </cell>
        </row>
        <row r="189">
          <cell r="C189" t="str">
            <v/>
          </cell>
        </row>
        <row r="190">
          <cell r="C190" t="str">
            <v/>
          </cell>
        </row>
        <row r="191">
          <cell r="C191" t="str">
            <v/>
          </cell>
        </row>
        <row r="192">
          <cell r="C192" t="str">
            <v/>
          </cell>
        </row>
        <row r="193">
          <cell r="C193" t="str">
            <v/>
          </cell>
        </row>
        <row r="194">
          <cell r="C194" t="str">
            <v/>
          </cell>
        </row>
        <row r="195">
          <cell r="C195" t="str">
            <v/>
          </cell>
        </row>
        <row r="196">
          <cell r="C196" t="str">
            <v/>
          </cell>
        </row>
        <row r="197">
          <cell r="C197" t="str">
            <v/>
          </cell>
        </row>
        <row r="198">
          <cell r="C198" t="str">
            <v/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10">
          <cell r="C210" t="str">
            <v/>
          </cell>
        </row>
        <row r="211">
          <cell r="C211" t="str">
            <v/>
          </cell>
        </row>
        <row r="212">
          <cell r="C212" t="str">
            <v/>
          </cell>
        </row>
        <row r="213">
          <cell r="C213" t="str">
            <v/>
          </cell>
        </row>
        <row r="214">
          <cell r="C214" t="str">
            <v/>
          </cell>
        </row>
        <row r="215">
          <cell r="C215" t="str">
            <v/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  <row r="251">
          <cell r="C251" t="str">
            <v/>
          </cell>
        </row>
        <row r="252">
          <cell r="C252" t="str">
            <v/>
          </cell>
        </row>
        <row r="253">
          <cell r="C253" t="str">
            <v/>
          </cell>
        </row>
        <row r="254">
          <cell r="C254" t="str">
            <v/>
          </cell>
        </row>
        <row r="255">
          <cell r="C255" t="str">
            <v/>
          </cell>
        </row>
        <row r="256">
          <cell r="C256" t="str">
            <v/>
          </cell>
        </row>
        <row r="257">
          <cell r="C257" t="str">
            <v/>
          </cell>
        </row>
        <row r="258">
          <cell r="C258" t="str">
            <v/>
          </cell>
        </row>
        <row r="259">
          <cell r="C259" t="str">
            <v/>
          </cell>
        </row>
        <row r="260">
          <cell r="C260" t="str">
            <v/>
          </cell>
        </row>
        <row r="261">
          <cell r="C261" t="str">
            <v/>
          </cell>
        </row>
        <row r="262">
          <cell r="C262" t="str">
            <v/>
          </cell>
        </row>
        <row r="263">
          <cell r="C263" t="str">
            <v/>
          </cell>
        </row>
        <row r="264">
          <cell r="C264" t="str">
            <v/>
          </cell>
        </row>
        <row r="265">
          <cell r="C265" t="str">
            <v/>
          </cell>
        </row>
        <row r="266">
          <cell r="C266" t="str">
            <v/>
          </cell>
        </row>
        <row r="267">
          <cell r="C267" t="str">
            <v/>
          </cell>
        </row>
        <row r="268">
          <cell r="C268" t="str">
            <v/>
          </cell>
        </row>
        <row r="269">
          <cell r="C269" t="str">
            <v/>
          </cell>
        </row>
        <row r="270">
          <cell r="C270" t="str">
            <v/>
          </cell>
        </row>
        <row r="271">
          <cell r="C271" t="str">
            <v/>
          </cell>
        </row>
        <row r="272">
          <cell r="C272" t="str">
            <v/>
          </cell>
        </row>
        <row r="273">
          <cell r="C273" t="str">
            <v/>
          </cell>
        </row>
        <row r="274">
          <cell r="C274" t="str">
            <v/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  <row r="366">
          <cell r="C366" t="str">
            <v/>
          </cell>
        </row>
        <row r="367">
          <cell r="C367" t="str">
            <v/>
          </cell>
        </row>
        <row r="368">
          <cell r="C368" t="str">
            <v/>
          </cell>
        </row>
        <row r="369">
          <cell r="C369" t="str">
            <v/>
          </cell>
        </row>
        <row r="370">
          <cell r="C370" t="str">
            <v/>
          </cell>
        </row>
        <row r="371">
          <cell r="C371" t="str">
            <v/>
          </cell>
        </row>
        <row r="372">
          <cell r="C372" t="str">
            <v/>
          </cell>
        </row>
        <row r="373">
          <cell r="C373" t="str">
            <v/>
          </cell>
        </row>
        <row r="374">
          <cell r="C374" t="str">
            <v/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  <row r="500">
          <cell r="C500" t="str">
            <v/>
          </cell>
        </row>
        <row r="501">
          <cell r="C501" t="str">
            <v/>
          </cell>
        </row>
        <row r="502">
          <cell r="C502" t="str">
            <v/>
          </cell>
        </row>
        <row r="503">
          <cell r="C503" t="str">
            <v/>
          </cell>
        </row>
        <row r="504">
          <cell r="C504" t="str">
            <v/>
          </cell>
        </row>
        <row r="505">
          <cell r="C505" t="str">
            <v/>
          </cell>
        </row>
        <row r="506">
          <cell r="C506" t="str">
            <v/>
          </cell>
        </row>
        <row r="507">
          <cell r="C507" t="str">
            <v/>
          </cell>
        </row>
        <row r="508">
          <cell r="C508" t="str">
            <v/>
          </cell>
        </row>
        <row r="509">
          <cell r="C509" t="str">
            <v/>
          </cell>
        </row>
        <row r="510">
          <cell r="C510" t="str">
            <v/>
          </cell>
        </row>
        <row r="511">
          <cell r="C511" t="str">
            <v/>
          </cell>
        </row>
        <row r="512">
          <cell r="C512" t="str">
            <v/>
          </cell>
        </row>
        <row r="513">
          <cell r="C513" t="str">
            <v/>
          </cell>
        </row>
        <row r="514">
          <cell r="C514" t="str">
            <v/>
          </cell>
        </row>
        <row r="515">
          <cell r="C515" t="str">
            <v/>
          </cell>
        </row>
        <row r="516">
          <cell r="C516" t="str">
            <v/>
          </cell>
        </row>
        <row r="517">
          <cell r="C517" t="str">
            <v/>
          </cell>
        </row>
        <row r="518">
          <cell r="C518" t="str">
            <v/>
          </cell>
        </row>
        <row r="519">
          <cell r="C519" t="str">
            <v/>
          </cell>
        </row>
        <row r="520">
          <cell r="C520" t="str">
            <v/>
          </cell>
        </row>
        <row r="521">
          <cell r="C521" t="str">
            <v/>
          </cell>
        </row>
        <row r="522">
          <cell r="C522" t="str">
            <v/>
          </cell>
        </row>
        <row r="523">
          <cell r="C523" t="str">
            <v/>
          </cell>
        </row>
        <row r="524">
          <cell r="C524" t="str">
            <v/>
          </cell>
        </row>
        <row r="525">
          <cell r="C525" t="str">
            <v/>
          </cell>
        </row>
        <row r="526">
          <cell r="C526" t="str">
            <v/>
          </cell>
        </row>
        <row r="527">
          <cell r="C527" t="str">
            <v/>
          </cell>
        </row>
        <row r="528">
          <cell r="C528" t="str">
            <v/>
          </cell>
        </row>
        <row r="529">
          <cell r="C529" t="str">
            <v/>
          </cell>
        </row>
        <row r="530">
          <cell r="C530" t="str">
            <v/>
          </cell>
        </row>
        <row r="531">
          <cell r="C531" t="str">
            <v/>
          </cell>
        </row>
        <row r="532">
          <cell r="C532" t="str">
            <v/>
          </cell>
        </row>
        <row r="533">
          <cell r="C533" t="str">
            <v/>
          </cell>
        </row>
        <row r="534">
          <cell r="C534" t="str">
            <v/>
          </cell>
        </row>
        <row r="535">
          <cell r="C535" t="str">
            <v/>
          </cell>
        </row>
        <row r="536">
          <cell r="C536" t="str">
            <v/>
          </cell>
        </row>
        <row r="537">
          <cell r="C537" t="str">
            <v/>
          </cell>
        </row>
        <row r="538">
          <cell r="C538" t="str">
            <v/>
          </cell>
        </row>
        <row r="539">
          <cell r="C539" t="str">
            <v/>
          </cell>
        </row>
        <row r="540">
          <cell r="C540" t="str">
            <v/>
          </cell>
        </row>
        <row r="541">
          <cell r="C541" t="str">
            <v/>
          </cell>
        </row>
        <row r="542">
          <cell r="C542" t="str">
            <v/>
          </cell>
        </row>
        <row r="543">
          <cell r="C543" t="str">
            <v/>
          </cell>
        </row>
        <row r="544">
          <cell r="C544" t="str">
            <v/>
          </cell>
        </row>
        <row r="545">
          <cell r="C545" t="str">
            <v/>
          </cell>
        </row>
        <row r="546">
          <cell r="C546" t="str">
            <v/>
          </cell>
        </row>
        <row r="547">
          <cell r="C547" t="str">
            <v/>
          </cell>
        </row>
        <row r="548">
          <cell r="C548" t="str">
            <v/>
          </cell>
        </row>
        <row r="549">
          <cell r="C549" t="str">
            <v/>
          </cell>
        </row>
        <row r="550">
          <cell r="C550" t="str">
            <v/>
          </cell>
        </row>
        <row r="551">
          <cell r="C551" t="str">
            <v/>
          </cell>
        </row>
        <row r="552">
          <cell r="C552" t="str">
            <v/>
          </cell>
        </row>
        <row r="553">
          <cell r="C553" t="str">
            <v/>
          </cell>
        </row>
        <row r="554">
          <cell r="C554" t="str">
            <v/>
          </cell>
        </row>
        <row r="555">
          <cell r="C555" t="str">
            <v/>
          </cell>
        </row>
        <row r="556">
          <cell r="C556" t="str">
            <v/>
          </cell>
        </row>
        <row r="557">
          <cell r="C557" t="str">
            <v/>
          </cell>
        </row>
        <row r="558">
          <cell r="C558" t="str">
            <v/>
          </cell>
        </row>
        <row r="559">
          <cell r="C559" t="str">
            <v/>
          </cell>
        </row>
        <row r="560">
          <cell r="C560" t="str">
            <v/>
          </cell>
        </row>
        <row r="561">
          <cell r="C561" t="str">
            <v/>
          </cell>
        </row>
        <row r="562">
          <cell r="C562" t="str">
            <v/>
          </cell>
        </row>
        <row r="563">
          <cell r="C563" t="str">
            <v/>
          </cell>
        </row>
        <row r="564">
          <cell r="C564" t="str">
            <v/>
          </cell>
        </row>
        <row r="565">
          <cell r="C565" t="str">
            <v/>
          </cell>
        </row>
        <row r="566">
          <cell r="C566" t="str">
            <v/>
          </cell>
        </row>
        <row r="567">
          <cell r="C567" t="str">
            <v/>
          </cell>
        </row>
        <row r="568">
          <cell r="C568" t="str">
            <v/>
          </cell>
        </row>
        <row r="569">
          <cell r="C569" t="str">
            <v/>
          </cell>
        </row>
        <row r="570">
          <cell r="C570" t="str">
            <v/>
          </cell>
        </row>
        <row r="571">
          <cell r="C571" t="str">
            <v/>
          </cell>
        </row>
        <row r="572">
          <cell r="C572" t="str">
            <v/>
          </cell>
        </row>
        <row r="573">
          <cell r="C573" t="str">
            <v/>
          </cell>
        </row>
        <row r="574">
          <cell r="C574" t="str">
            <v/>
          </cell>
        </row>
        <row r="575">
          <cell r="C575" t="str">
            <v/>
          </cell>
        </row>
        <row r="576">
          <cell r="C576" t="str">
            <v/>
          </cell>
        </row>
        <row r="577">
          <cell r="C577" t="str">
            <v/>
          </cell>
        </row>
        <row r="578">
          <cell r="C578" t="str">
            <v/>
          </cell>
        </row>
        <row r="579">
          <cell r="C579" t="str">
            <v/>
          </cell>
        </row>
        <row r="580">
          <cell r="C580" t="str">
            <v/>
          </cell>
        </row>
        <row r="581">
          <cell r="C581" t="str">
            <v/>
          </cell>
        </row>
        <row r="582">
          <cell r="C582" t="str">
            <v/>
          </cell>
        </row>
        <row r="583">
          <cell r="C583" t="str">
            <v/>
          </cell>
        </row>
        <row r="584">
          <cell r="C584" t="str">
            <v/>
          </cell>
        </row>
        <row r="585">
          <cell r="C585" t="str">
            <v/>
          </cell>
        </row>
        <row r="586">
          <cell r="C586" t="str">
            <v/>
          </cell>
        </row>
        <row r="587">
          <cell r="C587" t="str">
            <v/>
          </cell>
        </row>
        <row r="588">
          <cell r="C588" t="str">
            <v/>
          </cell>
        </row>
        <row r="589">
          <cell r="C589" t="str">
            <v/>
          </cell>
        </row>
        <row r="590">
          <cell r="C590" t="str">
            <v/>
          </cell>
        </row>
        <row r="591">
          <cell r="C591" t="str">
            <v/>
          </cell>
        </row>
        <row r="592">
          <cell r="C592" t="str">
            <v/>
          </cell>
        </row>
        <row r="593">
          <cell r="C593" t="str">
            <v/>
          </cell>
        </row>
        <row r="594">
          <cell r="C594" t="str">
            <v/>
          </cell>
        </row>
        <row r="595">
          <cell r="C595" t="str">
            <v/>
          </cell>
        </row>
        <row r="596">
          <cell r="C596" t="str">
            <v/>
          </cell>
        </row>
        <row r="597">
          <cell r="C597" t="str">
            <v/>
          </cell>
        </row>
        <row r="598">
          <cell r="C598" t="str">
            <v/>
          </cell>
        </row>
        <row r="599">
          <cell r="C599" t="str">
            <v/>
          </cell>
        </row>
        <row r="600">
          <cell r="C600" t="str">
            <v/>
          </cell>
        </row>
        <row r="601">
          <cell r="C601" t="str">
            <v/>
          </cell>
        </row>
        <row r="602">
          <cell r="C602" t="str">
            <v/>
          </cell>
        </row>
        <row r="603">
          <cell r="C603" t="str">
            <v/>
          </cell>
        </row>
        <row r="604">
          <cell r="C604" t="str">
            <v/>
          </cell>
        </row>
        <row r="605">
          <cell r="C605" t="str">
            <v/>
          </cell>
        </row>
        <row r="606">
          <cell r="C606" t="str">
            <v/>
          </cell>
        </row>
        <row r="607">
          <cell r="C607" t="str">
            <v/>
          </cell>
        </row>
        <row r="608">
          <cell r="C608" t="str">
            <v/>
          </cell>
        </row>
        <row r="609">
          <cell r="C609" t="str">
            <v/>
          </cell>
        </row>
        <row r="610">
          <cell r="C610" t="str">
            <v/>
          </cell>
        </row>
        <row r="611">
          <cell r="C611" t="str">
            <v/>
          </cell>
        </row>
        <row r="612">
          <cell r="C612" t="str">
            <v/>
          </cell>
        </row>
        <row r="613">
          <cell r="C613" t="str">
            <v/>
          </cell>
        </row>
        <row r="614">
          <cell r="C614" t="str">
            <v/>
          </cell>
        </row>
        <row r="615">
          <cell r="C615" t="str">
            <v/>
          </cell>
        </row>
        <row r="616">
          <cell r="C616" t="str">
            <v/>
          </cell>
        </row>
        <row r="617">
          <cell r="C617" t="str">
            <v/>
          </cell>
        </row>
        <row r="618">
          <cell r="C618" t="str">
            <v/>
          </cell>
        </row>
        <row r="619">
          <cell r="C619" t="str">
            <v/>
          </cell>
        </row>
        <row r="620">
          <cell r="C620" t="str">
            <v/>
          </cell>
        </row>
        <row r="621">
          <cell r="C621" t="str">
            <v/>
          </cell>
        </row>
        <row r="622">
          <cell r="C622" t="str">
            <v/>
          </cell>
        </row>
        <row r="623">
          <cell r="C623" t="str">
            <v/>
          </cell>
        </row>
        <row r="624">
          <cell r="C624" t="str">
            <v/>
          </cell>
        </row>
        <row r="625">
          <cell r="C625" t="str">
            <v/>
          </cell>
        </row>
        <row r="626">
          <cell r="C626" t="str">
            <v/>
          </cell>
        </row>
        <row r="627">
          <cell r="C627" t="str">
            <v/>
          </cell>
        </row>
        <row r="628">
          <cell r="C628" t="str">
            <v/>
          </cell>
        </row>
        <row r="629">
          <cell r="C629" t="str">
            <v/>
          </cell>
        </row>
        <row r="630">
          <cell r="C630" t="str">
            <v/>
          </cell>
        </row>
        <row r="631">
          <cell r="C631" t="str">
            <v/>
          </cell>
        </row>
        <row r="632">
          <cell r="C632" t="str">
            <v/>
          </cell>
        </row>
        <row r="633">
          <cell r="C633" t="str">
            <v/>
          </cell>
        </row>
        <row r="634">
          <cell r="C634" t="str">
            <v/>
          </cell>
        </row>
        <row r="635">
          <cell r="C635" t="str">
            <v/>
          </cell>
        </row>
        <row r="636">
          <cell r="C636" t="str">
            <v/>
          </cell>
        </row>
        <row r="637">
          <cell r="C637" t="str">
            <v/>
          </cell>
        </row>
        <row r="638">
          <cell r="C638" t="str">
            <v/>
          </cell>
        </row>
        <row r="639">
          <cell r="C639" t="str">
            <v/>
          </cell>
        </row>
        <row r="640">
          <cell r="C640" t="str">
            <v/>
          </cell>
        </row>
        <row r="641">
          <cell r="C641" t="str">
            <v/>
          </cell>
        </row>
        <row r="642">
          <cell r="C642" t="str">
            <v/>
          </cell>
        </row>
        <row r="643">
          <cell r="C643" t="str">
            <v/>
          </cell>
        </row>
        <row r="644">
          <cell r="C644" t="str">
            <v/>
          </cell>
        </row>
        <row r="645">
          <cell r="C645" t="str">
            <v/>
          </cell>
        </row>
        <row r="646">
          <cell r="C646" t="str">
            <v/>
          </cell>
        </row>
        <row r="647">
          <cell r="C647" t="str">
            <v/>
          </cell>
        </row>
        <row r="648">
          <cell r="C648" t="str">
            <v/>
          </cell>
        </row>
        <row r="649">
          <cell r="C649" t="str">
            <v/>
          </cell>
        </row>
        <row r="650">
          <cell r="C650" t="str">
            <v/>
          </cell>
        </row>
        <row r="651">
          <cell r="C651" t="str">
            <v/>
          </cell>
        </row>
        <row r="652">
          <cell r="C652" t="str">
            <v/>
          </cell>
        </row>
        <row r="653">
          <cell r="C653" t="str">
            <v/>
          </cell>
        </row>
        <row r="654">
          <cell r="C654" t="str">
            <v/>
          </cell>
        </row>
        <row r="655">
          <cell r="C655" t="str">
            <v/>
          </cell>
        </row>
        <row r="656">
          <cell r="C656" t="str">
            <v/>
          </cell>
        </row>
        <row r="657">
          <cell r="C657" t="str">
            <v/>
          </cell>
        </row>
        <row r="658">
          <cell r="C658" t="str">
            <v/>
          </cell>
        </row>
        <row r="659">
          <cell r="C659" t="str">
            <v/>
          </cell>
        </row>
        <row r="660">
          <cell r="C660" t="str">
            <v/>
          </cell>
        </row>
        <row r="661">
          <cell r="C661" t="str">
            <v/>
          </cell>
        </row>
      </sheetData>
      <sheetData sheetId="17"/>
      <sheetData sheetId="18"/>
      <sheetData sheetId="19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 "/>
      <sheetName val="2016-17 Summary"/>
      <sheetName val="2016-17 DSG allocations"/>
      <sheetName val="2016-17 additions"/>
      <sheetName val="2015-16 HN block baseline"/>
      <sheetName val="2016-17 HN block "/>
      <sheetName val="2016-17 HN places &amp; deductions"/>
    </sheetNames>
    <sheetDataSet>
      <sheetData sheetId="0"/>
      <sheetData sheetId="1"/>
      <sheetData sheetId="2"/>
      <sheetData sheetId="3"/>
      <sheetData sheetId="4"/>
      <sheetData sheetId="5"/>
      <sheetData sheetId="6">
        <row r="64">
          <cell r="E64">
            <v>0.98249699999999995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18 HN Data"/>
      <sheetName val="IR 1718"/>
      <sheetName val="Impact"/>
      <sheetName val="Localities"/>
      <sheetName val="Schools List"/>
      <sheetName val="Schools Block Data"/>
      <sheetName val="Oasis"/>
      <sheetName val="Mercia Data"/>
      <sheetName val="Astrea Data"/>
      <sheetName val="DataSource"/>
      <sheetName val="Pupils"/>
      <sheetName val="Add Deleg"/>
      <sheetName val="New Del"/>
      <sheetName val="AWPU"/>
      <sheetName val="FSM"/>
      <sheetName val="IDACI"/>
      <sheetName val="Attain"/>
      <sheetName val="EAL"/>
      <sheetName val="Mobility"/>
      <sheetName val="Split Site"/>
      <sheetName val="1718 Uplifted Baseline"/>
      <sheetName val="Floor"/>
      <sheetName val="A4 Floor"/>
      <sheetName val="MFG-Gains A4"/>
      <sheetName val="MFG NFF"/>
      <sheetName val="£pup rates"/>
      <sheetName val="Budget"/>
      <sheetName val="Min Fund"/>
      <sheetName val="MFG"/>
      <sheetName val="AWPU Fund"/>
      <sheetName val="Budget Share"/>
      <sheetName val="Schls Forum (3)"/>
      <sheetName val="Schls Forum"/>
      <sheetName val="Schls Forum (2)"/>
      <sheetName val="A4 Sheet"/>
      <sheetName val="pro-forma check"/>
      <sheetName val="Multiplier Summary"/>
      <sheetName val="Growth Sep17-Mar18"/>
      <sheetName val="GrowthApr18-Aug18"/>
      <sheetName val="Notional SEN"/>
      <sheetName val="Sumbud18"/>
    </sheetNames>
    <sheetDataSet>
      <sheetData sheetId="0"/>
      <sheetData sheetId="1"/>
      <sheetData sheetId="2"/>
      <sheetData sheetId="3"/>
      <sheetData sheetId="4">
        <row r="5">
          <cell r="B5">
            <v>3732001</v>
          </cell>
        </row>
      </sheetData>
      <sheetData sheetId="5"/>
      <sheetData sheetId="6"/>
      <sheetData sheetId="7"/>
      <sheetData sheetId="8"/>
      <sheetData sheetId="9">
        <row r="1">
          <cell r="B1">
            <v>0</v>
          </cell>
        </row>
      </sheetData>
      <sheetData sheetId="10">
        <row r="1">
          <cell r="D1">
            <v>0</v>
          </cell>
        </row>
      </sheetData>
      <sheetData sheetId="11"/>
      <sheetData sheetId="12">
        <row r="8">
          <cell r="E8">
            <v>5.69</v>
          </cell>
        </row>
      </sheetData>
      <sheetData sheetId="13">
        <row r="1">
          <cell r="F1" t="str">
            <v>Secondary AWPU Funding</v>
          </cell>
          <cell r="G1" t="str">
            <v>2018-19</v>
          </cell>
        </row>
        <row r="3">
          <cell r="F3">
            <v>0</v>
          </cell>
          <cell r="G3">
            <v>0</v>
          </cell>
          <cell r="H3">
            <v>0</v>
          </cell>
          <cell r="K3" t="str">
            <v>KS3</v>
          </cell>
          <cell r="L3" t="str">
            <v>KS4</v>
          </cell>
          <cell r="M3" t="str">
            <v>Total</v>
          </cell>
        </row>
        <row r="4">
          <cell r="E4" t="str">
            <v>DfE</v>
          </cell>
          <cell r="F4" t="str">
            <v>School</v>
          </cell>
          <cell r="G4" t="str">
            <v>KS3</v>
          </cell>
          <cell r="H4" t="str">
            <v>KS4</v>
          </cell>
          <cell r="I4" t="str">
            <v>Total</v>
          </cell>
          <cell r="J4" t="str">
            <v>check</v>
          </cell>
          <cell r="K4">
            <v>3475.5650536212893</v>
          </cell>
          <cell r="L4">
            <v>4237.1267921386789</v>
          </cell>
          <cell r="M4">
            <v>0</v>
          </cell>
        </row>
        <row r="6">
          <cell r="E6">
            <v>5401</v>
          </cell>
          <cell r="F6" t="str">
            <v>All Saints' Catholic High School</v>
          </cell>
          <cell r="G6">
            <v>620</v>
          </cell>
          <cell r="H6">
            <v>407</v>
          </cell>
          <cell r="I6">
            <v>1027</v>
          </cell>
          <cell r="J6">
            <v>0</v>
          </cell>
          <cell r="K6">
            <v>2154850.3332451992</v>
          </cell>
          <cell r="L6">
            <v>1724510.6044004422</v>
          </cell>
          <cell r="M6">
            <v>3879360.9376456412</v>
          </cell>
        </row>
        <row r="7">
          <cell r="E7">
            <v>4276</v>
          </cell>
          <cell r="F7" t="str">
            <v>The Birley Academy</v>
          </cell>
          <cell r="G7">
            <v>710</v>
          </cell>
          <cell r="H7">
            <v>445</v>
          </cell>
          <cell r="I7">
            <v>1155</v>
          </cell>
          <cell r="J7">
            <v>0</v>
          </cell>
          <cell r="K7">
            <v>2467651.1880711154</v>
          </cell>
          <cell r="L7">
            <v>1885521.4225017121</v>
          </cell>
          <cell r="M7">
            <v>4353172.610572828</v>
          </cell>
        </row>
        <row r="8">
          <cell r="E8">
            <v>4272</v>
          </cell>
          <cell r="F8" t="str">
            <v>Bradfield School</v>
          </cell>
          <cell r="G8">
            <v>607</v>
          </cell>
          <cell r="H8">
            <v>354</v>
          </cell>
          <cell r="I8">
            <v>961</v>
          </cell>
          <cell r="J8">
            <v>0</v>
          </cell>
          <cell r="K8">
            <v>2109667.9875481226</v>
          </cell>
          <cell r="L8">
            <v>1499942.8844170924</v>
          </cell>
          <cell r="M8">
            <v>3609610.8719652151</v>
          </cell>
        </row>
        <row r="9">
          <cell r="E9">
            <v>4000</v>
          </cell>
          <cell r="F9" t="str">
            <v>Chaucer School</v>
          </cell>
          <cell r="G9">
            <v>557</v>
          </cell>
          <cell r="H9">
            <v>267</v>
          </cell>
          <cell r="I9">
            <v>824</v>
          </cell>
          <cell r="J9">
            <v>0</v>
          </cell>
          <cell r="K9">
            <v>1935889.7348670582</v>
          </cell>
          <cell r="L9">
            <v>1131312.8535010272</v>
          </cell>
          <cell r="M9">
            <v>3067202.5883680852</v>
          </cell>
        </row>
        <row r="10">
          <cell r="E10">
            <v>4270</v>
          </cell>
          <cell r="F10" t="str">
            <v>Ecclesfield School</v>
          </cell>
          <cell r="G10">
            <v>1050</v>
          </cell>
          <cell r="H10">
            <v>668</v>
          </cell>
          <cell r="I10">
            <v>1718</v>
          </cell>
          <cell r="J10">
            <v>0</v>
          </cell>
          <cell r="K10">
            <v>3649343.3063023537</v>
          </cell>
          <cell r="L10">
            <v>2830400.6971486374</v>
          </cell>
          <cell r="M10">
            <v>6479744.0034509916</v>
          </cell>
        </row>
        <row r="11">
          <cell r="E11">
            <v>4280</v>
          </cell>
          <cell r="F11" t="str">
            <v>Fir Vale School</v>
          </cell>
          <cell r="G11">
            <v>621</v>
          </cell>
          <cell r="H11">
            <v>386</v>
          </cell>
          <cell r="I11">
            <v>1007</v>
          </cell>
          <cell r="J11">
            <v>0</v>
          </cell>
          <cell r="K11">
            <v>2158325.8982988205</v>
          </cell>
          <cell r="L11">
            <v>1635530.94176553</v>
          </cell>
          <cell r="M11">
            <v>3793856.8400643505</v>
          </cell>
        </row>
        <row r="12">
          <cell r="E12">
            <v>4003</v>
          </cell>
          <cell r="F12" t="str">
            <v>Firth Park Academy</v>
          </cell>
          <cell r="G12">
            <v>778</v>
          </cell>
          <cell r="H12">
            <v>371</v>
          </cell>
          <cell r="I12">
            <v>1149</v>
          </cell>
          <cell r="J12">
            <v>0</v>
          </cell>
          <cell r="K12">
            <v>2703989.6117173629</v>
          </cell>
          <cell r="L12">
            <v>1571974.0398834499</v>
          </cell>
          <cell r="M12">
            <v>4275963.6516008126</v>
          </cell>
        </row>
        <row r="13">
          <cell r="E13">
            <v>4007</v>
          </cell>
          <cell r="F13" t="str">
            <v>Forge Valley School</v>
          </cell>
          <cell r="G13">
            <v>712</v>
          </cell>
          <cell r="H13">
            <v>381</v>
          </cell>
          <cell r="I13">
            <v>1093</v>
          </cell>
          <cell r="J13">
            <v>0</v>
          </cell>
          <cell r="K13">
            <v>2474602.318178358</v>
          </cell>
          <cell r="L13">
            <v>1614345.3078048367</v>
          </cell>
          <cell r="M13">
            <v>4088947.6259831944</v>
          </cell>
        </row>
        <row r="14">
          <cell r="E14">
            <v>4278</v>
          </cell>
          <cell r="F14" t="str">
            <v>Handsworth Grange Community Sports College</v>
          </cell>
          <cell r="G14">
            <v>608</v>
          </cell>
          <cell r="H14">
            <v>406</v>
          </cell>
          <cell r="I14">
            <v>1014</v>
          </cell>
          <cell r="J14">
            <v>0</v>
          </cell>
          <cell r="K14">
            <v>2113143.552601744</v>
          </cell>
          <cell r="L14">
            <v>1720273.4776083035</v>
          </cell>
          <cell r="M14">
            <v>3833417.0302100475</v>
          </cell>
        </row>
        <row r="15">
          <cell r="E15">
            <v>4257</v>
          </cell>
          <cell r="F15" t="str">
            <v>High Storrs School</v>
          </cell>
          <cell r="G15">
            <v>721</v>
          </cell>
          <cell r="H15">
            <v>478</v>
          </cell>
          <cell r="I15">
            <v>1199</v>
          </cell>
          <cell r="J15">
            <v>0</v>
          </cell>
          <cell r="K15">
            <v>2505882.4036609498</v>
          </cell>
          <cell r="L15">
            <v>2025346.6066422884</v>
          </cell>
          <cell r="M15">
            <v>4531229.0103032384</v>
          </cell>
        </row>
        <row r="16">
          <cell r="E16">
            <v>4230</v>
          </cell>
          <cell r="F16" t="str">
            <v>King Ecgbert School</v>
          </cell>
          <cell r="G16">
            <v>607</v>
          </cell>
          <cell r="H16">
            <v>384</v>
          </cell>
          <cell r="I16">
            <v>991</v>
          </cell>
          <cell r="J16">
            <v>0</v>
          </cell>
          <cell r="K16">
            <v>2109667.9875481226</v>
          </cell>
          <cell r="L16">
            <v>1627056.6881812527</v>
          </cell>
          <cell r="M16">
            <v>3736724.6757293753</v>
          </cell>
        </row>
        <row r="17">
          <cell r="E17">
            <v>4259</v>
          </cell>
          <cell r="F17" t="str">
            <v>King Edward VII School</v>
          </cell>
          <cell r="G17">
            <v>683</v>
          </cell>
          <cell r="H17">
            <v>452</v>
          </cell>
          <cell r="I17">
            <v>1135</v>
          </cell>
          <cell r="J17">
            <v>0</v>
          </cell>
          <cell r="K17">
            <v>2373810.9316233406</v>
          </cell>
          <cell r="L17">
            <v>1915181.3100466828</v>
          </cell>
          <cell r="M17">
            <v>4288992.2416700236</v>
          </cell>
        </row>
        <row r="18">
          <cell r="E18">
            <v>4279</v>
          </cell>
          <cell r="F18" t="str">
            <v>Meadowhead School Academy Trust</v>
          </cell>
          <cell r="G18">
            <v>981</v>
          </cell>
          <cell r="H18">
            <v>645</v>
          </cell>
          <cell r="I18">
            <v>1626</v>
          </cell>
          <cell r="J18">
            <v>0</v>
          </cell>
          <cell r="K18">
            <v>3409529.317602485</v>
          </cell>
          <cell r="L18">
            <v>2732946.7809294481</v>
          </cell>
          <cell r="M18">
            <v>6142476.0985319335</v>
          </cell>
        </row>
        <row r="19">
          <cell r="E19">
            <v>4999</v>
          </cell>
          <cell r="F19" t="str">
            <v>Mercia Academy x 7/12</v>
          </cell>
          <cell r="G19">
            <v>70</v>
          </cell>
          <cell r="H19">
            <v>0</v>
          </cell>
          <cell r="I19">
            <v>70</v>
          </cell>
          <cell r="J19">
            <v>0</v>
          </cell>
          <cell r="K19">
            <v>243289.55375349024</v>
          </cell>
          <cell r="L19">
            <v>0</v>
          </cell>
          <cell r="M19">
            <v>243289.55375349024</v>
          </cell>
        </row>
        <row r="20">
          <cell r="E20">
            <v>4008</v>
          </cell>
          <cell r="F20" t="str">
            <v>Newfield Secondary School</v>
          </cell>
          <cell r="G20">
            <v>645</v>
          </cell>
          <cell r="H20">
            <v>360</v>
          </cell>
          <cell r="I20">
            <v>1005</v>
          </cell>
          <cell r="J20">
            <v>0</v>
          </cell>
          <cell r="K20">
            <v>2241739.4595857314</v>
          </cell>
          <cell r="L20">
            <v>1525365.6451699245</v>
          </cell>
          <cell r="M20">
            <v>3767105.1047556559</v>
          </cell>
        </row>
        <row r="21">
          <cell r="E21">
            <v>5400</v>
          </cell>
          <cell r="F21" t="str">
            <v>Notre Dame High School</v>
          </cell>
          <cell r="G21">
            <v>647</v>
          </cell>
          <cell r="H21">
            <v>410</v>
          </cell>
          <cell r="I21">
            <v>1057</v>
          </cell>
          <cell r="J21">
            <v>0</v>
          </cell>
          <cell r="K21">
            <v>2248690.589692974</v>
          </cell>
          <cell r="L21">
            <v>1737221.9847768582</v>
          </cell>
          <cell r="M21">
            <v>3985912.5744698322</v>
          </cell>
        </row>
        <row r="22">
          <cell r="E22">
            <v>4006</v>
          </cell>
          <cell r="F22" t="str">
            <v>Outwood Academy City</v>
          </cell>
          <cell r="G22">
            <v>665</v>
          </cell>
          <cell r="H22">
            <v>328</v>
          </cell>
          <cell r="I22">
            <v>993</v>
          </cell>
          <cell r="J22">
            <v>0</v>
          </cell>
          <cell r="K22">
            <v>2311250.7606581575</v>
          </cell>
          <cell r="L22">
            <v>1389777.5878214866</v>
          </cell>
          <cell r="M22">
            <v>3701028.3484796444</v>
          </cell>
        </row>
        <row r="23">
          <cell r="E23">
            <v>6907</v>
          </cell>
          <cell r="F23" t="str">
            <v>Parkwood E-Act Academy</v>
          </cell>
          <cell r="G23">
            <v>549</v>
          </cell>
          <cell r="H23">
            <v>323</v>
          </cell>
          <cell r="I23">
            <v>872</v>
          </cell>
          <cell r="J23">
            <v>0</v>
          </cell>
          <cell r="K23">
            <v>1908085.2144380878</v>
          </cell>
          <cell r="L23">
            <v>1368591.9538607933</v>
          </cell>
          <cell r="M23">
            <v>3276677.168298881</v>
          </cell>
        </row>
        <row r="24">
          <cell r="E24">
            <v>6905</v>
          </cell>
          <cell r="F24" t="str">
            <v>Sheffield Park Academy</v>
          </cell>
          <cell r="G24">
            <v>605</v>
          </cell>
          <cell r="H24">
            <v>320</v>
          </cell>
          <cell r="I24">
            <v>925</v>
          </cell>
          <cell r="J24">
            <v>0</v>
          </cell>
          <cell r="K24">
            <v>2102716.85744088</v>
          </cell>
          <cell r="L24">
            <v>1355880.5734843772</v>
          </cell>
          <cell r="M24">
            <v>3458597.4309252575</v>
          </cell>
        </row>
        <row r="25">
          <cell r="E25">
            <v>6906</v>
          </cell>
          <cell r="F25" t="str">
            <v>Sheffield Springs Academy</v>
          </cell>
          <cell r="G25">
            <v>431</v>
          </cell>
          <cell r="H25">
            <v>256</v>
          </cell>
          <cell r="I25">
            <v>687</v>
          </cell>
          <cell r="J25">
            <v>0</v>
          </cell>
          <cell r="K25">
            <v>1497968.5381107756</v>
          </cell>
          <cell r="L25">
            <v>1084704.4587875018</v>
          </cell>
          <cell r="M25">
            <v>2582672.9968982777</v>
          </cell>
        </row>
        <row r="26">
          <cell r="E26">
            <v>4229</v>
          </cell>
          <cell r="F26" t="str">
            <v>Silverdale School</v>
          </cell>
          <cell r="G26">
            <v>602</v>
          </cell>
          <cell r="H26">
            <v>365</v>
          </cell>
          <cell r="I26">
            <v>967</v>
          </cell>
          <cell r="J26">
            <v>0</v>
          </cell>
          <cell r="K26">
            <v>2092290.1622800161</v>
          </cell>
          <cell r="L26">
            <v>1546551.2791306179</v>
          </cell>
          <cell r="M26">
            <v>3638841.4414106337</v>
          </cell>
        </row>
        <row r="27">
          <cell r="E27">
            <v>4271</v>
          </cell>
          <cell r="F27" t="str">
            <v>Stocksbridge High School</v>
          </cell>
          <cell r="G27">
            <v>509</v>
          </cell>
          <cell r="H27">
            <v>303</v>
          </cell>
          <cell r="I27">
            <v>812</v>
          </cell>
          <cell r="J27">
            <v>0</v>
          </cell>
          <cell r="K27">
            <v>1769062.6122932362</v>
          </cell>
          <cell r="L27">
            <v>1283849.4180180198</v>
          </cell>
          <cell r="M27">
            <v>3052912.0303112557</v>
          </cell>
        </row>
        <row r="28">
          <cell r="E28">
            <v>4234</v>
          </cell>
          <cell r="F28" t="str">
            <v>Tapton School</v>
          </cell>
          <cell r="G28">
            <v>781</v>
          </cell>
          <cell r="H28">
            <v>450</v>
          </cell>
          <cell r="I28">
            <v>1231</v>
          </cell>
          <cell r="J28">
            <v>0</v>
          </cell>
          <cell r="K28">
            <v>2714416.3068782268</v>
          </cell>
          <cell r="L28">
            <v>1906707.0564624055</v>
          </cell>
          <cell r="M28">
            <v>4621123.3633406321</v>
          </cell>
        </row>
        <row r="29">
          <cell r="E29">
            <v>4004</v>
          </cell>
          <cell r="F29" t="str">
            <v>UTC Sheffield</v>
          </cell>
          <cell r="G29">
            <v>0</v>
          </cell>
          <cell r="H29">
            <v>205</v>
          </cell>
          <cell r="I29">
            <v>205</v>
          </cell>
          <cell r="J29">
            <v>0</v>
          </cell>
          <cell r="K29">
            <v>0</v>
          </cell>
          <cell r="L29">
            <v>868610.99238842912</v>
          </cell>
          <cell r="M29">
            <v>868610.99238842912</v>
          </cell>
        </row>
        <row r="30">
          <cell r="E30">
            <v>4010</v>
          </cell>
          <cell r="F30" t="str">
            <v>UTC Sheffield Olympic Legacy Park</v>
          </cell>
          <cell r="G30">
            <v>0</v>
          </cell>
          <cell r="H30">
            <v>189</v>
          </cell>
          <cell r="I30">
            <v>189</v>
          </cell>
          <cell r="J30">
            <v>0</v>
          </cell>
          <cell r="K30">
            <v>0</v>
          </cell>
          <cell r="L30">
            <v>800816.96371421032</v>
          </cell>
          <cell r="M30">
            <v>800816.96371421032</v>
          </cell>
        </row>
        <row r="31">
          <cell r="E31">
            <v>4252</v>
          </cell>
          <cell r="F31" t="str">
            <v>Westfield School</v>
          </cell>
          <cell r="G31">
            <v>691</v>
          </cell>
          <cell r="H31">
            <v>485</v>
          </cell>
          <cell r="I31">
            <v>1176</v>
          </cell>
          <cell r="J31">
            <v>0</v>
          </cell>
          <cell r="K31">
            <v>2401615.452052311</v>
          </cell>
          <cell r="L31">
            <v>2055006.4941872593</v>
          </cell>
          <cell r="M31">
            <v>4456621.9462395702</v>
          </cell>
        </row>
        <row r="32">
          <cell r="E32">
            <v>4253</v>
          </cell>
          <cell r="F32" t="str">
            <v>Yewlands Academy</v>
          </cell>
          <cell r="G32">
            <v>577</v>
          </cell>
          <cell r="H32">
            <v>281</v>
          </cell>
          <cell r="I32">
            <v>858</v>
          </cell>
          <cell r="J32">
            <v>0</v>
          </cell>
          <cell r="K32">
            <v>2005401.0359394839</v>
          </cell>
          <cell r="L32">
            <v>1190632.6285909687</v>
          </cell>
          <cell r="M32">
            <v>3196033.6645304523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>
            <v>0</v>
          </cell>
          <cell r="F34" t="str">
            <v>Total Secondary</v>
          </cell>
          <cell r="G34">
            <v>16027</v>
          </cell>
          <cell r="H34">
            <v>9919</v>
          </cell>
          <cell r="I34">
            <v>25946</v>
          </cell>
          <cell r="J34">
            <v>0</v>
          </cell>
          <cell r="K34">
            <v>55702881.114388406</v>
          </cell>
          <cell r="L34">
            <v>42028060.651223555</v>
          </cell>
          <cell r="M34">
            <v>97730941.765611961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E36">
            <v>0</v>
          </cell>
          <cell r="F36" t="str">
            <v>Middle Deemed Secondary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4998</v>
          </cell>
          <cell r="F38" t="str">
            <v>Astrea Academy - Woodside x 7/12</v>
          </cell>
          <cell r="G38">
            <v>87.5</v>
          </cell>
          <cell r="H38">
            <v>0</v>
          </cell>
          <cell r="I38">
            <v>87.5</v>
          </cell>
          <cell r="J38">
            <v>0</v>
          </cell>
          <cell r="K38">
            <v>304111.94219186279</v>
          </cell>
          <cell r="L38">
            <v>0</v>
          </cell>
          <cell r="M38">
            <v>304111.94219186279</v>
          </cell>
        </row>
        <row r="39">
          <cell r="E39">
            <v>4225</v>
          </cell>
          <cell r="F39" t="str">
            <v>Hinde House 3-16 School</v>
          </cell>
          <cell r="G39">
            <v>516</v>
          </cell>
          <cell r="H39">
            <v>319</v>
          </cell>
          <cell r="I39">
            <v>835</v>
          </cell>
          <cell r="J39">
            <v>0</v>
          </cell>
          <cell r="K39">
            <v>1793391.5676685853</v>
          </cell>
          <cell r="L39">
            <v>1351643.4466922386</v>
          </cell>
          <cell r="M39">
            <v>3145035.0143608237</v>
          </cell>
        </row>
        <row r="40">
          <cell r="E40">
            <v>4005</v>
          </cell>
          <cell r="F40" t="str">
            <v>Oasis Academy Don Valley</v>
          </cell>
          <cell r="G40">
            <v>87.5</v>
          </cell>
          <cell r="H40">
            <v>0</v>
          </cell>
          <cell r="I40">
            <v>87.5</v>
          </cell>
          <cell r="J40">
            <v>0</v>
          </cell>
          <cell r="K40">
            <v>304111.94219186279</v>
          </cell>
          <cell r="L40">
            <v>0</v>
          </cell>
          <cell r="M40">
            <v>304111.94219186279</v>
          </cell>
        </row>
        <row r="42">
          <cell r="F42" t="str">
            <v>Total Secondary</v>
          </cell>
          <cell r="G42">
            <v>16718</v>
          </cell>
          <cell r="H42">
            <v>10238</v>
          </cell>
          <cell r="I42">
            <v>26956</v>
          </cell>
          <cell r="J42">
            <v>0</v>
          </cell>
          <cell r="K42">
            <v>58104496.566440716</v>
          </cell>
          <cell r="L42">
            <v>43379704.097915791</v>
          </cell>
          <cell r="M42">
            <v>101484200.66435653</v>
          </cell>
        </row>
        <row r="43">
          <cell r="I43">
            <v>0</v>
          </cell>
          <cell r="K43">
            <v>0</v>
          </cell>
        </row>
      </sheetData>
      <sheetData sheetId="14"/>
      <sheetData sheetId="15">
        <row r="155">
          <cell r="AE155">
            <v>10217.266869649584</v>
          </cell>
        </row>
        <row r="156">
          <cell r="AE156">
            <v>121485.75229428121</v>
          </cell>
        </row>
        <row r="157">
          <cell r="AE157">
            <v>68332.327754502359</v>
          </cell>
        </row>
        <row r="190">
          <cell r="AE190">
            <v>27729.761669967778</v>
          </cell>
        </row>
        <row r="191">
          <cell r="AE191">
            <v>237831.17848525394</v>
          </cell>
        </row>
        <row r="192">
          <cell r="AE192">
            <v>32205.731063455176</v>
          </cell>
        </row>
      </sheetData>
      <sheetData sheetId="16">
        <row r="1">
          <cell r="M1"/>
        </row>
      </sheetData>
      <sheetData sheetId="17">
        <row r="188">
          <cell r="J188">
            <v>5533.0308929326911</v>
          </cell>
        </row>
        <row r="189">
          <cell r="J189">
            <v>7352.6177532917663</v>
          </cell>
        </row>
        <row r="192">
          <cell r="J192">
            <v>27079.343641580541</v>
          </cell>
        </row>
        <row r="193">
          <cell r="J193">
            <v>71175.040965496708</v>
          </cell>
        </row>
        <row r="196">
          <cell r="J196">
            <v>29983.905270697887</v>
          </cell>
        </row>
        <row r="197">
          <cell r="J197">
            <v>28747.598492460394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D1" t="str">
            <v xml:space="preserve">Indicative School Budget Shares - 2018-19 </v>
          </cell>
          <cell r="Y1">
            <v>0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</row>
        <row r="3">
          <cell r="G3" t="str">
            <v>PUPIL LED FUNDING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R3">
            <v>0</v>
          </cell>
        </row>
        <row r="4">
          <cell r="G4">
            <v>0</v>
          </cell>
          <cell r="H4" t="str">
            <v>Deprivation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150000</v>
          </cell>
          <cell r="R4">
            <v>0</v>
          </cell>
        </row>
        <row r="5">
          <cell r="D5" t="str">
            <v>DfE</v>
          </cell>
          <cell r="E5" t="str">
            <v>School</v>
          </cell>
          <cell r="F5" t="str">
            <v xml:space="preserve">Pupil No. </v>
          </cell>
          <cell r="G5" t="str">
            <v>Basic per pupil funding</v>
          </cell>
          <cell r="H5" t="str">
            <v>FSM</v>
          </cell>
          <cell r="I5" t="str">
            <v>FSM-Ever6</v>
          </cell>
          <cell r="J5" t="str">
            <v>IDACI</v>
          </cell>
          <cell r="K5" t="str">
            <v>Low Prior Attainment</v>
          </cell>
          <cell r="L5" t="str">
            <v>EAL</v>
          </cell>
          <cell r="M5" t="str">
            <v>Total Pupil Led Funding</v>
          </cell>
          <cell r="N5" t="str">
            <v>Lump Sum</v>
          </cell>
          <cell r="O5" t="str">
            <v>Mobility</v>
          </cell>
          <cell r="P5" t="str">
            <v>Minimum Funding Level Value</v>
          </cell>
          <cell r="Q5" t="str">
            <v>Minimum Funding Level</v>
          </cell>
          <cell r="R5" t="str">
            <v>Gains Cap Value</v>
          </cell>
          <cell r="S5" t="str">
            <v>Gains Cap</v>
          </cell>
          <cell r="T5" t="str">
            <v>MFG Value</v>
          </cell>
          <cell r="U5" t="str">
            <v>MFG</v>
          </cell>
          <cell r="V5" t="str">
            <v>PFI</v>
          </cell>
          <cell r="W5" t="str">
            <v>Split Sites</v>
          </cell>
          <cell r="X5" t="str">
            <v>Rates</v>
          </cell>
          <cell r="Y5" t="str">
            <v>TOTAL Budget Share</v>
          </cell>
        </row>
        <row r="6">
          <cell r="F6" t="str">
            <v>FTE</v>
          </cell>
          <cell r="G6" t="str">
            <v>£</v>
          </cell>
          <cell r="H6" t="str">
            <v>£</v>
          </cell>
          <cell r="I6">
            <v>0</v>
          </cell>
          <cell r="J6" t="str">
            <v>£</v>
          </cell>
          <cell r="K6" t="str">
            <v>£</v>
          </cell>
          <cell r="L6" t="str">
            <v>£</v>
          </cell>
          <cell r="M6" t="str">
            <v>£</v>
          </cell>
          <cell r="N6" t="str">
            <v>£</v>
          </cell>
          <cell r="O6" t="str">
            <v>£</v>
          </cell>
          <cell r="P6">
            <v>0</v>
          </cell>
          <cell r="Q6" t="str">
            <v>£</v>
          </cell>
          <cell r="R6">
            <v>0</v>
          </cell>
          <cell r="S6" t="str">
            <v>£</v>
          </cell>
          <cell r="T6">
            <v>0</v>
          </cell>
          <cell r="U6" t="str">
            <v>£</v>
          </cell>
          <cell r="V6" t="str">
            <v>£</v>
          </cell>
          <cell r="W6" t="str">
            <v>£</v>
          </cell>
          <cell r="X6" t="str">
            <v>£</v>
          </cell>
          <cell r="Y6" t="str">
            <v>£</v>
          </cell>
        </row>
        <row r="7"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</row>
        <row r="8">
          <cell r="M8">
            <v>0</v>
          </cell>
        </row>
        <row r="9">
          <cell r="D9">
            <v>2001</v>
          </cell>
          <cell r="E9" t="str">
            <v>Abbey Lane Primary School</v>
          </cell>
          <cell r="F9">
            <v>598</v>
          </cell>
          <cell r="G9">
            <v>1700574.0154238811</v>
          </cell>
          <cell r="H9">
            <v>35231.477346794352</v>
          </cell>
          <cell r="I9">
            <v>0</v>
          </cell>
          <cell r="J9">
            <v>28138.952673133324</v>
          </cell>
          <cell r="K9">
            <v>137701.12655136627</v>
          </cell>
          <cell r="L9">
            <v>7195.7075165491606</v>
          </cell>
          <cell r="M9">
            <v>1908841.2795117241</v>
          </cell>
          <cell r="N9">
            <v>150000</v>
          </cell>
          <cell r="O9">
            <v>0</v>
          </cell>
          <cell r="P9">
            <v>0</v>
          </cell>
          <cell r="Q9">
            <v>0</v>
          </cell>
          <cell r="R9">
            <v>-40271.495699883424</v>
          </cell>
          <cell r="S9">
            <v>-40271.495699883424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38454</v>
          </cell>
          <cell r="Y9">
            <v>2057023.7838118407</v>
          </cell>
        </row>
        <row r="10">
          <cell r="D10">
            <v>2046</v>
          </cell>
          <cell r="E10" t="str">
            <v>Abbeyfield Primary Academy (Firs Hill)</v>
          </cell>
          <cell r="F10">
            <v>429</v>
          </cell>
          <cell r="G10">
            <v>1219977.0110649581</v>
          </cell>
          <cell r="H10">
            <v>69133.464982388803</v>
          </cell>
          <cell r="I10">
            <v>0</v>
          </cell>
          <cell r="J10">
            <v>86361.335388041683</v>
          </cell>
          <cell r="K10">
            <v>255815.01895846595</v>
          </cell>
          <cell r="L10">
            <v>59210.045793448815</v>
          </cell>
          <cell r="M10">
            <v>1690496.8761873031</v>
          </cell>
          <cell r="N10">
            <v>150000</v>
          </cell>
          <cell r="O10">
            <v>0</v>
          </cell>
          <cell r="P10">
            <v>0</v>
          </cell>
          <cell r="Q10">
            <v>0</v>
          </cell>
          <cell r="R10">
            <v>-40293.329619411401</v>
          </cell>
          <cell r="S10">
            <v>-40293.329619411401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5696</v>
          </cell>
          <cell r="Y10">
            <v>1805899.5465678917</v>
          </cell>
        </row>
        <row r="11">
          <cell r="D11">
            <v>2048</v>
          </cell>
          <cell r="E11" t="str">
            <v>Acres Hill Community Primary School</v>
          </cell>
          <cell r="F11">
            <v>270</v>
          </cell>
          <cell r="G11">
            <v>767817.69927165192</v>
          </cell>
          <cell r="H11">
            <v>47861.629603192392</v>
          </cell>
          <cell r="I11">
            <v>0</v>
          </cell>
          <cell r="J11">
            <v>54157.847268153957</v>
          </cell>
          <cell r="K11">
            <v>155306.06351448726</v>
          </cell>
          <cell r="L11">
            <v>25973.209801058016</v>
          </cell>
          <cell r="M11">
            <v>1051116.4494585434</v>
          </cell>
          <cell r="N11">
            <v>150000</v>
          </cell>
          <cell r="O11">
            <v>6376.79106174761</v>
          </cell>
          <cell r="P11">
            <v>0</v>
          </cell>
          <cell r="Q11">
            <v>0</v>
          </cell>
          <cell r="R11">
            <v>-41471.383706397566</v>
          </cell>
          <cell r="S11">
            <v>-41471.383706397566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3845</v>
          </cell>
          <cell r="Y11">
            <v>1169866.8568138941</v>
          </cell>
        </row>
        <row r="12">
          <cell r="D12">
            <v>2342</v>
          </cell>
          <cell r="E12" t="str">
            <v>Angram Bank Primary School</v>
          </cell>
          <cell r="F12">
            <v>220</v>
          </cell>
          <cell r="G12">
            <v>625629.23644356825</v>
          </cell>
          <cell r="H12">
            <v>35896.222202394187</v>
          </cell>
          <cell r="I12">
            <v>0</v>
          </cell>
          <cell r="J12">
            <v>29166.859620097141</v>
          </cell>
          <cell r="K12">
            <v>99550.496196796594</v>
          </cell>
          <cell r="L12">
            <v>1884.5583906078512</v>
          </cell>
          <cell r="M12">
            <v>792127.37285346398</v>
          </cell>
          <cell r="N12">
            <v>150000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15809</v>
          </cell>
          <cell r="Y12">
            <v>957936.37285346398</v>
          </cell>
        </row>
        <row r="13">
          <cell r="D13">
            <v>2343</v>
          </cell>
          <cell r="E13" t="str">
            <v>Anns Grove Primary School</v>
          </cell>
          <cell r="F13">
            <v>300</v>
          </cell>
          <cell r="G13">
            <v>853130.77696850221</v>
          </cell>
          <cell r="H13">
            <v>54509.078159191202</v>
          </cell>
          <cell r="I13">
            <v>0</v>
          </cell>
          <cell r="J13">
            <v>54350.57982070963</v>
          </cell>
          <cell r="K13">
            <v>114965.92195476551</v>
          </cell>
          <cell r="L13">
            <v>13637.349808398605</v>
          </cell>
          <cell r="M13">
            <v>1090593.7067115672</v>
          </cell>
          <cell r="N13">
            <v>150000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39194</v>
          </cell>
          <cell r="Y13">
            <v>1279787.7067115672</v>
          </cell>
        </row>
        <row r="14">
          <cell r="D14">
            <v>3429</v>
          </cell>
          <cell r="E14" t="str">
            <v>Arbourthorne Community Primary School</v>
          </cell>
          <cell r="F14">
            <v>409</v>
          </cell>
          <cell r="G14">
            <v>1163101.6259337247</v>
          </cell>
          <cell r="H14">
            <v>132948.97111997873</v>
          </cell>
          <cell r="I14">
            <v>0</v>
          </cell>
          <cell r="J14">
            <v>122899.12434635648</v>
          </cell>
          <cell r="K14">
            <v>239577.83745356774</v>
          </cell>
          <cell r="L14">
            <v>12385.956892599314</v>
          </cell>
          <cell r="M14">
            <v>1670913.5157462268</v>
          </cell>
          <cell r="N14">
            <v>150000</v>
          </cell>
          <cell r="O14">
            <v>0</v>
          </cell>
          <cell r="P14">
            <v>0</v>
          </cell>
          <cell r="Q14">
            <v>0</v>
          </cell>
          <cell r="R14">
            <v>-7762.7811143715717</v>
          </cell>
          <cell r="S14">
            <v>-7762.7811143715717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50779</v>
          </cell>
          <cell r="Y14">
            <v>1863929.7346318553</v>
          </cell>
        </row>
        <row r="15">
          <cell r="D15">
            <v>2340</v>
          </cell>
          <cell r="E15" t="str">
            <v>Athelstan Primary School</v>
          </cell>
          <cell r="F15">
            <v>585</v>
          </cell>
          <cell r="G15">
            <v>1663605.0150885792</v>
          </cell>
          <cell r="H15">
            <v>85087.341516786444</v>
          </cell>
          <cell r="I15">
            <v>0</v>
          </cell>
          <cell r="J15">
            <v>73495.346707909965</v>
          </cell>
          <cell r="K15">
            <v>257109.620150053</v>
          </cell>
          <cell r="L15">
            <v>21326.924774619471</v>
          </cell>
          <cell r="M15">
            <v>2100624.2482379479</v>
          </cell>
          <cell r="N15">
            <v>150000</v>
          </cell>
          <cell r="O15">
            <v>142.18846282810628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27290</v>
          </cell>
          <cell r="Y15">
            <v>2278056.4367007762</v>
          </cell>
        </row>
        <row r="16">
          <cell r="D16">
            <v>2281</v>
          </cell>
          <cell r="E16" t="str">
            <v>Ballifield Primary School</v>
          </cell>
          <cell r="F16">
            <v>423</v>
          </cell>
          <cell r="G16">
            <v>1202914.3955255882</v>
          </cell>
          <cell r="H16">
            <v>21271.835379196596</v>
          </cell>
          <cell r="I16">
            <v>0</v>
          </cell>
          <cell r="J16">
            <v>22421.220280647365</v>
          </cell>
          <cell r="K16">
            <v>195998.02479501232</v>
          </cell>
          <cell r="L16">
            <v>2781.0050125804619</v>
          </cell>
          <cell r="M16">
            <v>1445386.4809930248</v>
          </cell>
          <cell r="N16">
            <v>150000</v>
          </cell>
          <cell r="O16">
            <v>0</v>
          </cell>
          <cell r="P16">
            <v>0</v>
          </cell>
          <cell r="Q16">
            <v>0</v>
          </cell>
          <cell r="R16">
            <v>-75225.661654237731</v>
          </cell>
          <cell r="S16">
            <v>-75225.661654237731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26869</v>
          </cell>
          <cell r="Y16">
            <v>1547029.8193387871</v>
          </cell>
        </row>
        <row r="17">
          <cell r="D17">
            <v>2322</v>
          </cell>
          <cell r="E17" t="str">
            <v>Bankwood Community Primary School</v>
          </cell>
          <cell r="F17">
            <v>289</v>
          </cell>
          <cell r="G17">
            <v>821849.31514632376</v>
          </cell>
          <cell r="H17">
            <v>119654.0740079809</v>
          </cell>
          <cell r="I17">
            <v>0</v>
          </cell>
          <cell r="J17">
            <v>99642.729671300956</v>
          </cell>
          <cell r="K17">
            <v>142265.13227526066</v>
          </cell>
          <cell r="L17">
            <v>15956.25139525188</v>
          </cell>
          <cell r="M17">
            <v>1199367.5024961182</v>
          </cell>
          <cell r="N17">
            <v>150000</v>
          </cell>
          <cell r="O17">
            <v>6000.3531313451022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19672.175303137941</v>
          </cell>
          <cell r="U17">
            <v>19672.175303137941</v>
          </cell>
          <cell r="V17">
            <v>0</v>
          </cell>
          <cell r="W17">
            <v>0</v>
          </cell>
          <cell r="X17">
            <v>23400</v>
          </cell>
          <cell r="Y17">
            <v>1398440.0309306011</v>
          </cell>
        </row>
        <row r="18">
          <cell r="D18">
            <v>2274</v>
          </cell>
          <cell r="E18" t="str">
            <v>Beck Primary School</v>
          </cell>
          <cell r="F18">
            <v>623</v>
          </cell>
          <cell r="G18">
            <v>1771668.2468379228</v>
          </cell>
          <cell r="H18">
            <v>148902.84765437624</v>
          </cell>
          <cell r="I18">
            <v>0</v>
          </cell>
          <cell r="J18">
            <v>190805.22703015085</v>
          </cell>
          <cell r="K18">
            <v>312444.78760568541</v>
          </cell>
          <cell r="L18">
            <v>17135.598687485519</v>
          </cell>
          <cell r="M18">
            <v>2440956.7078156206</v>
          </cell>
          <cell r="N18">
            <v>150000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8135</v>
          </cell>
          <cell r="Y18">
            <v>2599091.7078156206</v>
          </cell>
        </row>
        <row r="19">
          <cell r="D19">
            <v>2241</v>
          </cell>
          <cell r="E19" t="str">
            <v>Beighton Nursery Infant School</v>
          </cell>
          <cell r="F19">
            <v>266</v>
          </cell>
          <cell r="G19">
            <v>756442.62224540522</v>
          </cell>
          <cell r="H19">
            <v>11300.662545198185</v>
          </cell>
          <cell r="I19">
            <v>0</v>
          </cell>
          <cell r="J19">
            <v>6745.6393394497754</v>
          </cell>
          <cell r="K19">
            <v>57237.410086184267</v>
          </cell>
          <cell r="L19">
            <v>2576.3743245980377</v>
          </cell>
          <cell r="M19">
            <v>834302.70854083553</v>
          </cell>
          <cell r="N19">
            <v>150000</v>
          </cell>
          <cell r="O19">
            <v>0</v>
          </cell>
          <cell r="P19">
            <v>0</v>
          </cell>
          <cell r="Q19">
            <v>0</v>
          </cell>
          <cell r="R19">
            <v>-19926.199166726477</v>
          </cell>
          <cell r="S19">
            <v>-19926.199166726477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21964</v>
          </cell>
          <cell r="Y19">
            <v>986340.50937410886</v>
          </cell>
        </row>
        <row r="20">
          <cell r="D20">
            <v>2353</v>
          </cell>
          <cell r="E20" t="str">
            <v>Birley Primary Academy</v>
          </cell>
          <cell r="F20">
            <v>570</v>
          </cell>
          <cell r="G20">
            <v>1620948.4762401541</v>
          </cell>
          <cell r="H20">
            <v>52514.843592391524</v>
          </cell>
          <cell r="I20">
            <v>0</v>
          </cell>
          <cell r="J20">
            <v>31158.429329839466</v>
          </cell>
          <cell r="K20">
            <v>227202.9655239665</v>
          </cell>
          <cell r="L20">
            <v>399.86056536971324</v>
          </cell>
          <cell r="M20">
            <v>1932224.5752517215</v>
          </cell>
          <cell r="N20">
            <v>150000</v>
          </cell>
          <cell r="O20">
            <v>0</v>
          </cell>
          <cell r="P20">
            <v>0</v>
          </cell>
          <cell r="Q20">
            <v>0</v>
          </cell>
          <cell r="R20">
            <v>-25750.857626930723</v>
          </cell>
          <cell r="S20">
            <v>-25750.857626930723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8825</v>
          </cell>
          <cell r="Y20">
            <v>2065298.7176247907</v>
          </cell>
        </row>
        <row r="21">
          <cell r="D21">
            <v>2323</v>
          </cell>
          <cell r="E21" t="str">
            <v>Birley Spa Primary Academy</v>
          </cell>
          <cell r="F21">
            <v>403</v>
          </cell>
          <cell r="G21">
            <v>1146039.0103943546</v>
          </cell>
          <cell r="H21">
            <v>51185.353881191688</v>
          </cell>
          <cell r="I21">
            <v>0</v>
          </cell>
          <cell r="J21">
            <v>35655.522222805987</v>
          </cell>
          <cell r="K21">
            <v>197886.83901690322</v>
          </cell>
          <cell r="L21">
            <v>1602.2892048934807</v>
          </cell>
          <cell r="M21">
            <v>1432369.0147201489</v>
          </cell>
          <cell r="N21">
            <v>150000</v>
          </cell>
          <cell r="O21">
            <v>0</v>
          </cell>
          <cell r="P21">
            <v>0</v>
          </cell>
          <cell r="Q21">
            <v>0</v>
          </cell>
          <cell r="R21">
            <v>-24129.341445918453</v>
          </cell>
          <cell r="S21">
            <v>-24129.341445918453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8825</v>
          </cell>
          <cell r="Y21">
            <v>1567064.67327423</v>
          </cell>
        </row>
        <row r="22">
          <cell r="D22">
            <v>2328</v>
          </cell>
          <cell r="E22" t="str">
            <v>Bradfield Dungworth Primary School</v>
          </cell>
          <cell r="F22">
            <v>103</v>
          </cell>
          <cell r="G22">
            <v>292908.23342585244</v>
          </cell>
          <cell r="H22">
            <v>3323.724277999464</v>
          </cell>
          <cell r="I22">
            <v>0</v>
          </cell>
          <cell r="J22">
            <v>1927.3255255570778</v>
          </cell>
          <cell r="K22">
            <v>22221.604627025234</v>
          </cell>
          <cell r="L22">
            <v>394.56377254636595</v>
          </cell>
          <cell r="M22">
            <v>320775.45162898063</v>
          </cell>
          <cell r="N22">
            <v>150000</v>
          </cell>
          <cell r="O22">
            <v>199.06384795930629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13200</v>
          </cell>
          <cell r="Y22">
            <v>484174.51547693991</v>
          </cell>
        </row>
        <row r="23">
          <cell r="D23">
            <v>2233</v>
          </cell>
          <cell r="E23" t="str">
            <v>Bradway Primary School</v>
          </cell>
          <cell r="F23">
            <v>405</v>
          </cell>
          <cell r="G23">
            <v>1151726.5489074779</v>
          </cell>
          <cell r="H23">
            <v>17948.111101197133</v>
          </cell>
          <cell r="I23">
            <v>0</v>
          </cell>
          <cell r="J23">
            <v>22613.952833203057</v>
          </cell>
          <cell r="K23">
            <v>127177.72893824342</v>
          </cell>
          <cell r="L23">
            <v>7328.1708642197964</v>
          </cell>
          <cell r="M23">
            <v>1326794.5126443412</v>
          </cell>
          <cell r="N23">
            <v>150000</v>
          </cell>
          <cell r="O23">
            <v>0</v>
          </cell>
          <cell r="P23">
            <v>0</v>
          </cell>
          <cell r="Q23">
            <v>0</v>
          </cell>
          <cell r="R23">
            <v>-24758.829576148153</v>
          </cell>
          <cell r="S23">
            <v>-24758.829576148153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20135</v>
          </cell>
          <cell r="Y23">
            <v>1472170.683068193</v>
          </cell>
        </row>
        <row r="24">
          <cell r="D24">
            <v>2014</v>
          </cell>
          <cell r="E24" t="str">
            <v>Brightside Nursery and Infant School</v>
          </cell>
          <cell r="F24">
            <v>182</v>
          </cell>
          <cell r="G24">
            <v>517566.00469422468</v>
          </cell>
          <cell r="H24">
            <v>25260.304512795978</v>
          </cell>
          <cell r="I24">
            <v>0</v>
          </cell>
          <cell r="J24">
            <v>28588.661962430007</v>
          </cell>
          <cell r="K24">
            <v>69769.617329754459</v>
          </cell>
          <cell r="L24">
            <v>26666.090617083591</v>
          </cell>
          <cell r="M24">
            <v>667850.67911628878</v>
          </cell>
          <cell r="N24">
            <v>150000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13313</v>
          </cell>
          <cell r="Y24">
            <v>831163.67911628878</v>
          </cell>
        </row>
        <row r="25">
          <cell r="D25">
            <v>2246</v>
          </cell>
          <cell r="E25" t="str">
            <v>Brook House Junior School</v>
          </cell>
          <cell r="F25">
            <v>326</v>
          </cell>
          <cell r="G25">
            <v>927068.77763910568</v>
          </cell>
          <cell r="H25">
            <v>8641.6831227986077</v>
          </cell>
          <cell r="I25">
            <v>0</v>
          </cell>
          <cell r="J25">
            <v>7388.0811813021337</v>
          </cell>
          <cell r="K25">
            <v>96249.022762691224</v>
          </cell>
          <cell r="L25">
            <v>681.86749041993153</v>
          </cell>
          <cell r="M25">
            <v>1040029.4321963175</v>
          </cell>
          <cell r="N25">
            <v>150000</v>
          </cell>
          <cell r="O25">
            <v>0</v>
          </cell>
          <cell r="P25">
            <v>0</v>
          </cell>
          <cell r="Q25">
            <v>0</v>
          </cell>
          <cell r="R25">
            <v>-16017.175149546429</v>
          </cell>
          <cell r="S25">
            <v>-16017.175149546429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5926</v>
          </cell>
          <cell r="Y25">
            <v>1179938.257046771</v>
          </cell>
        </row>
        <row r="26">
          <cell r="D26">
            <v>5204</v>
          </cell>
          <cell r="E26" t="str">
            <v>Broomhill Infant School</v>
          </cell>
          <cell r="F26">
            <v>112</v>
          </cell>
          <cell r="G26">
            <v>318502.15673490748</v>
          </cell>
          <cell r="H26">
            <v>5982.7037003990454</v>
          </cell>
          <cell r="I26">
            <v>0</v>
          </cell>
          <cell r="J26">
            <v>6745.6393394497773</v>
          </cell>
          <cell r="K26">
            <v>29895.143751045285</v>
          </cell>
          <cell r="L26">
            <v>15480.234917641685</v>
          </cell>
          <cell r="M26">
            <v>376605.87844344322</v>
          </cell>
          <cell r="N26">
            <v>150000</v>
          </cell>
          <cell r="O26">
            <v>511.87846618111502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23228.813096663009</v>
          </cell>
          <cell r="U26">
            <v>23228.813096663009</v>
          </cell>
          <cell r="V26">
            <v>0</v>
          </cell>
          <cell r="W26">
            <v>0</v>
          </cell>
          <cell r="X26">
            <v>1351</v>
          </cell>
          <cell r="Y26">
            <v>551697.57000628731</v>
          </cell>
        </row>
        <row r="27">
          <cell r="D27">
            <v>2325</v>
          </cell>
          <cell r="E27" t="str">
            <v>Brunswick Community Primary School</v>
          </cell>
          <cell r="F27">
            <v>421</v>
          </cell>
          <cell r="G27">
            <v>1197226.8570124647</v>
          </cell>
          <cell r="H27">
            <v>51185.353881191775</v>
          </cell>
          <cell r="I27">
            <v>0</v>
          </cell>
          <cell r="J27">
            <v>40345.347668328192</v>
          </cell>
          <cell r="K27">
            <v>173589.71297521362</v>
          </cell>
          <cell r="L27">
            <v>4771.1836033261725</v>
          </cell>
          <cell r="M27">
            <v>1467118.4551405241</v>
          </cell>
          <cell r="N27">
            <v>150000</v>
          </cell>
          <cell r="O27">
            <v>0</v>
          </cell>
          <cell r="P27">
            <v>0</v>
          </cell>
          <cell r="Q27">
            <v>0</v>
          </cell>
          <cell r="R27">
            <v>-12479.116080135533</v>
          </cell>
          <cell r="S27">
            <v>-12479.116080135533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30189</v>
          </cell>
          <cell r="Y27">
            <v>1634828.3390603885</v>
          </cell>
        </row>
        <row r="28">
          <cell r="D28">
            <v>2095</v>
          </cell>
          <cell r="E28" t="str">
            <v>Byron Wood Primary Academy</v>
          </cell>
          <cell r="F28">
            <v>408</v>
          </cell>
          <cell r="G28">
            <v>1160257.8566771629</v>
          </cell>
          <cell r="H28">
            <v>81763.617238786872</v>
          </cell>
          <cell r="I28">
            <v>0</v>
          </cell>
          <cell r="J28">
            <v>111078.19445627302</v>
          </cell>
          <cell r="K28">
            <v>204797.6746591469</v>
          </cell>
          <cell r="L28">
            <v>68254.512270854859</v>
          </cell>
          <cell r="M28">
            <v>1626151.8553022244</v>
          </cell>
          <cell r="N28">
            <v>150000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29447.163233558218</v>
          </cell>
          <cell r="U28">
            <v>29447.163233558218</v>
          </cell>
          <cell r="V28">
            <v>0</v>
          </cell>
          <cell r="W28">
            <v>0</v>
          </cell>
          <cell r="X28">
            <v>5067</v>
          </cell>
          <cell r="Y28">
            <v>1810666.0185357826</v>
          </cell>
        </row>
        <row r="29">
          <cell r="D29">
            <v>2344</v>
          </cell>
          <cell r="E29" t="str">
            <v>Carfield Primary School</v>
          </cell>
          <cell r="F29">
            <v>565</v>
          </cell>
          <cell r="G29">
            <v>1606729.6299573458</v>
          </cell>
          <cell r="H29">
            <v>57168.057581590852</v>
          </cell>
          <cell r="I29">
            <v>0</v>
          </cell>
          <cell r="J29">
            <v>56920.347188119151</v>
          </cell>
          <cell r="K29">
            <v>177930.68008946828</v>
          </cell>
          <cell r="L29">
            <v>9230.0708729239814</v>
          </cell>
          <cell r="M29">
            <v>1907978.7856894482</v>
          </cell>
          <cell r="N29">
            <v>150000</v>
          </cell>
          <cell r="O29">
            <v>0</v>
          </cell>
          <cell r="P29">
            <v>0</v>
          </cell>
          <cell r="Q29">
            <v>0</v>
          </cell>
          <cell r="R29">
            <v>-36339.606574345824</v>
          </cell>
          <cell r="S29">
            <v>-36339.606574345824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30320</v>
          </cell>
          <cell r="Y29">
            <v>2051959.1791151024</v>
          </cell>
        </row>
        <row r="30">
          <cell r="D30">
            <v>2023</v>
          </cell>
          <cell r="E30" t="str">
            <v>Carter Knowle Junior School</v>
          </cell>
          <cell r="F30">
            <v>214</v>
          </cell>
          <cell r="G30">
            <v>608566.62090419827</v>
          </cell>
          <cell r="H30">
            <v>12630.152256397982</v>
          </cell>
          <cell r="I30">
            <v>0</v>
          </cell>
          <cell r="J30">
            <v>2248.5464464832589</v>
          </cell>
          <cell r="K30">
            <v>47012.057676103512</v>
          </cell>
          <cell r="L30">
            <v>2045.6024712597966</v>
          </cell>
          <cell r="M30">
            <v>672502.97975444281</v>
          </cell>
          <cell r="N30">
            <v>150000</v>
          </cell>
          <cell r="O30">
            <v>0</v>
          </cell>
          <cell r="P30">
            <v>0</v>
          </cell>
          <cell r="Q30">
            <v>0</v>
          </cell>
          <cell r="R30">
            <v>-2099.2904459313077</v>
          </cell>
          <cell r="S30">
            <v>-2099.2904459313077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15310</v>
          </cell>
          <cell r="Y30">
            <v>835713.68930851156</v>
          </cell>
        </row>
        <row r="31">
          <cell r="D31">
            <v>2354</v>
          </cell>
          <cell r="E31" t="str">
            <v>Charnock Hall Primary Academy</v>
          </cell>
          <cell r="F31">
            <v>405</v>
          </cell>
          <cell r="G31">
            <v>1151726.5489074779</v>
          </cell>
          <cell r="H31">
            <v>27254.539079595754</v>
          </cell>
          <cell r="I31">
            <v>0</v>
          </cell>
          <cell r="J31">
            <v>24798.255095501088</v>
          </cell>
          <cell r="K31">
            <v>122488.39259556256</v>
          </cell>
          <cell r="L31">
            <v>791.2788928941909</v>
          </cell>
          <cell r="M31">
            <v>1327059.0145710318</v>
          </cell>
          <cell r="N31">
            <v>150000</v>
          </cell>
          <cell r="O31">
            <v>0</v>
          </cell>
          <cell r="P31">
            <v>0</v>
          </cell>
          <cell r="Q31">
            <v>0</v>
          </cell>
          <cell r="R31">
            <v>-26432.644722538793</v>
          </cell>
          <cell r="S31">
            <v>-26432.644722538793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4584</v>
          </cell>
          <cell r="Y31">
            <v>1455210.3698484926</v>
          </cell>
        </row>
        <row r="32">
          <cell r="D32">
            <v>5200</v>
          </cell>
          <cell r="E32" t="str">
            <v>Clifford CofE Infant School</v>
          </cell>
          <cell r="F32">
            <v>87</v>
          </cell>
          <cell r="G32">
            <v>247407.92532086564</v>
          </cell>
          <cell r="H32">
            <v>5317.9588447991455</v>
          </cell>
          <cell r="I32">
            <v>0</v>
          </cell>
          <cell r="J32">
            <v>3276.4533934470337</v>
          </cell>
          <cell r="K32">
            <v>9633.9447658582103</v>
          </cell>
          <cell r="L32">
            <v>2601.8627923918448</v>
          </cell>
          <cell r="M32">
            <v>268238.14511736191</v>
          </cell>
          <cell r="N32">
            <v>150000</v>
          </cell>
          <cell r="O32">
            <v>0</v>
          </cell>
          <cell r="P32">
            <v>0</v>
          </cell>
          <cell r="Q32">
            <v>0</v>
          </cell>
          <cell r="R32">
            <v>-3444.1037145794153</v>
          </cell>
          <cell r="S32">
            <v>-3444.1037145794153</v>
          </cell>
          <cell r="T32">
            <v>0</v>
          </cell>
          <cell r="U32">
            <v>0</v>
          </cell>
          <cell r="V32">
            <v>0</v>
          </cell>
          <cell r="W32">
            <v>22421.002456140352</v>
          </cell>
          <cell r="X32">
            <v>1799</v>
          </cell>
          <cell r="Y32">
            <v>439014.04385892296</v>
          </cell>
        </row>
        <row r="33">
          <cell r="D33">
            <v>2312</v>
          </cell>
          <cell r="E33" t="str">
            <v>Coit Primary School</v>
          </cell>
          <cell r="F33">
            <v>207</v>
          </cell>
          <cell r="G33">
            <v>588660.23610826652</v>
          </cell>
          <cell r="H33">
            <v>8641.6831227986222</v>
          </cell>
          <cell r="I33">
            <v>0</v>
          </cell>
          <cell r="J33">
            <v>9700.8718119706282</v>
          </cell>
          <cell r="K33">
            <v>51435.534932363058</v>
          </cell>
          <cell r="L33">
            <v>1982.3956533276084</v>
          </cell>
          <cell r="M33">
            <v>660420.72162872634</v>
          </cell>
          <cell r="N33">
            <v>150000</v>
          </cell>
          <cell r="O33">
            <v>0</v>
          </cell>
          <cell r="P33">
            <v>0</v>
          </cell>
          <cell r="Q33">
            <v>0</v>
          </cell>
          <cell r="R33">
            <v>-6370.3533620818471</v>
          </cell>
          <cell r="S33">
            <v>-6370.3533620818471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13146</v>
          </cell>
          <cell r="Y33">
            <v>817196.36826664454</v>
          </cell>
        </row>
        <row r="34">
          <cell r="D34">
            <v>2026</v>
          </cell>
          <cell r="E34" t="str">
            <v>Concord Junior School</v>
          </cell>
          <cell r="F34">
            <v>212</v>
          </cell>
          <cell r="G34">
            <v>602879.08239107486</v>
          </cell>
          <cell r="H34">
            <v>36560.967057994152</v>
          </cell>
          <cell r="I34">
            <v>0</v>
          </cell>
          <cell r="J34">
            <v>37582.847748363056</v>
          </cell>
          <cell r="K34">
            <v>131158.28915889343</v>
          </cell>
          <cell r="L34">
            <v>15001.084789238521</v>
          </cell>
          <cell r="M34">
            <v>823182.27114556392</v>
          </cell>
          <cell r="N34">
            <v>150000</v>
          </cell>
          <cell r="O34">
            <v>2218.1400201181254</v>
          </cell>
          <cell r="P34">
            <v>0</v>
          </cell>
          <cell r="Q34">
            <v>0</v>
          </cell>
          <cell r="R34">
            <v>-79917.23173265584</v>
          </cell>
          <cell r="S34">
            <v>-79917.23173265584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3525</v>
          </cell>
          <cell r="Y34">
            <v>899008.17943302635</v>
          </cell>
        </row>
        <row r="35">
          <cell r="D35">
            <v>3422</v>
          </cell>
          <cell r="E35" t="str">
            <v>Deepcar St John's Church of England Junior School</v>
          </cell>
          <cell r="F35">
            <v>152</v>
          </cell>
          <cell r="G35">
            <v>432252.92699737445</v>
          </cell>
          <cell r="H35">
            <v>13959.641967597754</v>
          </cell>
          <cell r="I35">
            <v>0</v>
          </cell>
          <cell r="J35">
            <v>1284.8836837047202</v>
          </cell>
          <cell r="K35">
            <v>59078.533576265858</v>
          </cell>
          <cell r="L35">
            <v>1022.8012356299001</v>
          </cell>
          <cell r="M35">
            <v>507598.78746057267</v>
          </cell>
          <cell r="N35">
            <v>150000</v>
          </cell>
          <cell r="O35">
            <v>0</v>
          </cell>
          <cell r="P35">
            <v>0</v>
          </cell>
          <cell r="Q35">
            <v>0</v>
          </cell>
          <cell r="R35">
            <v>-19579.159045271834</v>
          </cell>
          <cell r="S35">
            <v>-19579.159045271834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3155</v>
          </cell>
          <cell r="Y35">
            <v>641174.62841530086</v>
          </cell>
        </row>
        <row r="36">
          <cell r="D36">
            <v>2283</v>
          </cell>
          <cell r="E36" t="str">
            <v>Dobcroft Infant School</v>
          </cell>
          <cell r="F36">
            <v>300</v>
          </cell>
          <cell r="G36">
            <v>853130.77696850221</v>
          </cell>
          <cell r="H36">
            <v>3323.7242779994749</v>
          </cell>
          <cell r="I36">
            <v>0</v>
          </cell>
          <cell r="J36">
            <v>1092.1511311490117</v>
          </cell>
          <cell r="K36">
            <v>36414.777961134962</v>
          </cell>
          <cell r="L36">
            <v>20943.072920040791</v>
          </cell>
          <cell r="M36">
            <v>914904.50325882644</v>
          </cell>
          <cell r="N36">
            <v>150000</v>
          </cell>
          <cell r="O36">
            <v>0</v>
          </cell>
          <cell r="P36">
            <v>0</v>
          </cell>
          <cell r="Q36">
            <v>0</v>
          </cell>
          <cell r="R36">
            <v>-13219.971228200746</v>
          </cell>
          <cell r="S36">
            <v>-13219.971228200746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9804</v>
          </cell>
          <cell r="Y36">
            <v>1061488.5320306257</v>
          </cell>
        </row>
        <row r="37">
          <cell r="D37">
            <v>2239</v>
          </cell>
          <cell r="E37" t="str">
            <v>Dobcroft Junior School</v>
          </cell>
          <cell r="F37">
            <v>369</v>
          </cell>
          <cell r="G37">
            <v>1049350.8556712577</v>
          </cell>
          <cell r="H37">
            <v>2658.9794223995714</v>
          </cell>
          <cell r="I37">
            <v>0</v>
          </cell>
          <cell r="J37">
            <v>1670.348788816136</v>
          </cell>
          <cell r="K37">
            <v>69037.976788721047</v>
          </cell>
          <cell r="L37">
            <v>2727.4699616797252</v>
          </cell>
          <cell r="M37">
            <v>1125445.6306328743</v>
          </cell>
          <cell r="N37">
            <v>150000</v>
          </cell>
          <cell r="O37">
            <v>0</v>
          </cell>
          <cell r="P37">
            <v>0</v>
          </cell>
          <cell r="Q37">
            <v>0</v>
          </cell>
          <cell r="R37">
            <v>-3480.7898513034165</v>
          </cell>
          <cell r="S37">
            <v>-3480.7898513034165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13539</v>
          </cell>
          <cell r="Y37">
            <v>1285503.8407815713</v>
          </cell>
        </row>
        <row r="38">
          <cell r="D38">
            <v>2364</v>
          </cell>
          <cell r="E38" t="str">
            <v>Dore Primary School</v>
          </cell>
          <cell r="F38">
            <v>458</v>
          </cell>
          <cell r="G38">
            <v>1302446.3195052466</v>
          </cell>
          <cell r="H38">
            <v>10635.917689598302</v>
          </cell>
          <cell r="I38">
            <v>0</v>
          </cell>
          <cell r="J38">
            <v>835.17439440806845</v>
          </cell>
          <cell r="K38">
            <v>106773.70679870214</v>
          </cell>
          <cell r="L38">
            <v>7473.0615889600122</v>
          </cell>
          <cell r="M38">
            <v>1428164.1799769152</v>
          </cell>
          <cell r="N38">
            <v>150000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26546</v>
          </cell>
          <cell r="Y38">
            <v>1604710.1799769152</v>
          </cell>
        </row>
        <row r="39">
          <cell r="D39">
            <v>3008</v>
          </cell>
          <cell r="E39" t="str">
            <v>Ecclesall Church of England Junior School</v>
          </cell>
          <cell r="F39">
            <v>361</v>
          </cell>
          <cell r="G39">
            <v>1026600.7016187643</v>
          </cell>
          <cell r="H39">
            <v>4653.2139891992492</v>
          </cell>
          <cell r="I39">
            <v>0</v>
          </cell>
          <cell r="J39">
            <v>4574.0074579216216</v>
          </cell>
          <cell r="K39">
            <v>73975.018292156732</v>
          </cell>
          <cell r="L39">
            <v>1704.6687260498329</v>
          </cell>
          <cell r="M39">
            <v>1111507.6100840918</v>
          </cell>
          <cell r="N39">
            <v>150000</v>
          </cell>
          <cell r="O39">
            <v>0</v>
          </cell>
          <cell r="P39">
            <v>0</v>
          </cell>
          <cell r="Q39">
            <v>0</v>
          </cell>
          <cell r="R39">
            <v>-43709.130347027945</v>
          </cell>
          <cell r="S39">
            <v>-43709.130347027945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4289</v>
          </cell>
          <cell r="Y39">
            <v>1222087.4797370639</v>
          </cell>
        </row>
        <row r="40">
          <cell r="D40">
            <v>2206</v>
          </cell>
          <cell r="E40" t="str">
            <v>Ecclesall Infant School</v>
          </cell>
          <cell r="F40">
            <v>231</v>
          </cell>
          <cell r="G40">
            <v>656910.6982657467</v>
          </cell>
          <cell r="H40">
            <v>2658.9794223995714</v>
          </cell>
          <cell r="I40">
            <v>0</v>
          </cell>
          <cell r="J40">
            <v>1541.8604204456626</v>
          </cell>
          <cell r="K40">
            <v>31243.87949065401</v>
          </cell>
          <cell r="L40">
            <v>6655.410857197362</v>
          </cell>
          <cell r="M40">
            <v>699010.82845644327</v>
          </cell>
          <cell r="N40">
            <v>150000</v>
          </cell>
          <cell r="O40">
            <v>0</v>
          </cell>
          <cell r="P40">
            <v>0</v>
          </cell>
          <cell r="Q40">
            <v>0</v>
          </cell>
          <cell r="R40">
            <v>-3620.2780680793935</v>
          </cell>
          <cell r="S40">
            <v>-3620.2780680793935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13560</v>
          </cell>
          <cell r="Y40">
            <v>858950.55038836389</v>
          </cell>
        </row>
        <row r="41">
          <cell r="D41">
            <v>2080</v>
          </cell>
          <cell r="E41" t="str">
            <v>Ecclesfield Primary School</v>
          </cell>
          <cell r="F41">
            <v>411</v>
          </cell>
          <cell r="G41">
            <v>1168789.164446848</v>
          </cell>
          <cell r="H41">
            <v>35231.47734679444</v>
          </cell>
          <cell r="I41">
            <v>0</v>
          </cell>
          <cell r="J41">
            <v>54874.586173868469</v>
          </cell>
          <cell r="K41">
            <v>109691.82262600971</v>
          </cell>
          <cell r="L41">
            <v>4776.9466800441842</v>
          </cell>
          <cell r="M41">
            <v>1373363.997273565</v>
          </cell>
          <cell r="N41">
            <v>150000</v>
          </cell>
          <cell r="O41">
            <v>0</v>
          </cell>
          <cell r="P41">
            <v>0</v>
          </cell>
          <cell r="Q41">
            <v>0</v>
          </cell>
          <cell r="R41">
            <v>-12890.940138029348</v>
          </cell>
          <cell r="S41">
            <v>-12890.940138029348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21480</v>
          </cell>
          <cell r="Y41">
            <v>1531953.0571355356</v>
          </cell>
        </row>
        <row r="42">
          <cell r="D42">
            <v>2024</v>
          </cell>
          <cell r="E42" t="str">
            <v>Emmanuel Anglican/Methodist Junior School</v>
          </cell>
          <cell r="F42">
            <v>193</v>
          </cell>
          <cell r="G42">
            <v>548847.46651640302</v>
          </cell>
          <cell r="H42">
            <v>23266.069945996227</v>
          </cell>
          <cell r="I42">
            <v>0</v>
          </cell>
          <cell r="J42">
            <v>18630.813413718435</v>
          </cell>
          <cell r="K42">
            <v>69388.620192296628</v>
          </cell>
          <cell r="L42">
            <v>3068.4037068896932</v>
          </cell>
          <cell r="M42">
            <v>663201.37377530418</v>
          </cell>
          <cell r="N42">
            <v>150000</v>
          </cell>
          <cell r="O42">
            <v>0</v>
          </cell>
          <cell r="P42">
            <v>0</v>
          </cell>
          <cell r="Q42">
            <v>0</v>
          </cell>
          <cell r="R42">
            <v>-20236.851040544218</v>
          </cell>
          <cell r="S42">
            <v>-20236.851040544218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5916</v>
          </cell>
          <cell r="Y42">
            <v>798880.52273475996</v>
          </cell>
        </row>
        <row r="43">
          <cell r="D43">
            <v>2028</v>
          </cell>
          <cell r="E43" t="str">
            <v>Emmaus Catholic and CofE Primary School</v>
          </cell>
          <cell r="F43">
            <v>312</v>
          </cell>
          <cell r="G43">
            <v>887256.0080472423</v>
          </cell>
          <cell r="H43">
            <v>61156.52671519023</v>
          </cell>
          <cell r="I43">
            <v>0</v>
          </cell>
          <cell r="J43">
            <v>82618.020862213423</v>
          </cell>
          <cell r="K43">
            <v>136261.69505966769</v>
          </cell>
          <cell r="L43">
            <v>16116.867955380261</v>
          </cell>
          <cell r="M43">
            <v>1183409.1186396941</v>
          </cell>
          <cell r="N43">
            <v>150000</v>
          </cell>
          <cell r="O43">
            <v>0</v>
          </cell>
          <cell r="P43">
            <v>0</v>
          </cell>
          <cell r="Q43">
            <v>0</v>
          </cell>
          <cell r="R43">
            <v>-6948.5429109242295</v>
          </cell>
          <cell r="S43">
            <v>-6948.5429109242295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8036</v>
          </cell>
          <cell r="Y43">
            <v>1334496.5757287699</v>
          </cell>
        </row>
        <row r="44">
          <cell r="D44">
            <v>2010</v>
          </cell>
          <cell r="E44" t="str">
            <v>Fox Hill Primary</v>
          </cell>
          <cell r="F44">
            <v>278</v>
          </cell>
          <cell r="G44">
            <v>790567.85332414531</v>
          </cell>
          <cell r="H44">
            <v>57832.802437190774</v>
          </cell>
          <cell r="I44">
            <v>0</v>
          </cell>
          <cell r="J44">
            <v>72210.463024205266</v>
          </cell>
          <cell r="K44">
            <v>128202.08105025481</v>
          </cell>
          <cell r="L44">
            <v>5393.959903891011</v>
          </cell>
          <cell r="M44">
            <v>1054207.1597396871</v>
          </cell>
          <cell r="N44">
            <v>150000</v>
          </cell>
          <cell r="O44">
            <v>341.25231078740626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181391.43108702404</v>
          </cell>
          <cell r="U44">
            <v>181391.43108702404</v>
          </cell>
          <cell r="V44">
            <v>0</v>
          </cell>
          <cell r="W44">
            <v>0</v>
          </cell>
          <cell r="X44">
            <v>7691</v>
          </cell>
          <cell r="Y44">
            <v>1393630.8431374985</v>
          </cell>
        </row>
        <row r="45">
          <cell r="D45">
            <v>2036</v>
          </cell>
          <cell r="E45" t="str">
            <v>Gleadless Primary School</v>
          </cell>
          <cell r="F45">
            <v>402</v>
          </cell>
          <cell r="G45">
            <v>1143195.2411377928</v>
          </cell>
          <cell r="H45">
            <v>45867.395036392627</v>
          </cell>
          <cell r="I45">
            <v>0</v>
          </cell>
          <cell r="J45">
            <v>31222.673514024664</v>
          </cell>
          <cell r="K45">
            <v>141060.13283757673</v>
          </cell>
          <cell r="L45">
            <v>3205.9734637288061</v>
          </cell>
          <cell r="M45">
            <v>1364551.4159895156</v>
          </cell>
          <cell r="N45">
            <v>150000</v>
          </cell>
          <cell r="O45">
            <v>0</v>
          </cell>
          <cell r="P45">
            <v>0</v>
          </cell>
          <cell r="Q45">
            <v>0</v>
          </cell>
          <cell r="R45">
            <v>-60119.37136075781</v>
          </cell>
          <cell r="S45">
            <v>-60119.37136075781</v>
          </cell>
          <cell r="T45">
            <v>0</v>
          </cell>
          <cell r="U45">
            <v>0</v>
          </cell>
          <cell r="V45">
            <v>0</v>
          </cell>
          <cell r="W45">
            <v>31690.262499999997</v>
          </cell>
          <cell r="X45">
            <v>49430</v>
          </cell>
          <cell r="Y45">
            <v>1535552.3071287579</v>
          </cell>
        </row>
        <row r="46">
          <cell r="D46">
            <v>2305</v>
          </cell>
          <cell r="E46" t="str">
            <v>Greengate Lane Academy</v>
          </cell>
          <cell r="F46">
            <v>169</v>
          </cell>
          <cell r="G46">
            <v>480597.00435892289</v>
          </cell>
          <cell r="H46">
            <v>31907.75306879486</v>
          </cell>
          <cell r="I46">
            <v>0</v>
          </cell>
          <cell r="J46">
            <v>22748.559695305485</v>
          </cell>
          <cell r="K46">
            <v>37718.581555011086</v>
          </cell>
          <cell r="L46">
            <v>1175.8735293976365</v>
          </cell>
          <cell r="M46">
            <v>574147.77220743196</v>
          </cell>
          <cell r="N46">
            <v>150000</v>
          </cell>
          <cell r="O46">
            <v>1165.945395190296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99684.498004292618</v>
          </cell>
          <cell r="U46">
            <v>99684.498004292618</v>
          </cell>
          <cell r="V46">
            <v>0</v>
          </cell>
          <cell r="W46">
            <v>0</v>
          </cell>
          <cell r="X46">
            <v>3821</v>
          </cell>
          <cell r="Y46">
            <v>828819.21560691483</v>
          </cell>
        </row>
        <row r="47">
          <cell r="D47">
            <v>2341</v>
          </cell>
          <cell r="E47" t="str">
            <v>Greenhill Primary School</v>
          </cell>
          <cell r="F47">
            <v>505</v>
          </cell>
          <cell r="G47">
            <v>1436103.4745636454</v>
          </cell>
          <cell r="H47">
            <v>48526.374458792372</v>
          </cell>
          <cell r="I47">
            <v>0</v>
          </cell>
          <cell r="J47">
            <v>47669.18466544502</v>
          </cell>
          <cell r="K47">
            <v>160910.28569166959</v>
          </cell>
          <cell r="L47">
            <v>3948.8885626383744</v>
          </cell>
          <cell r="M47">
            <v>1697158.2079421908</v>
          </cell>
          <cell r="N47">
            <v>150000</v>
          </cell>
          <cell r="O47">
            <v>0</v>
          </cell>
          <cell r="P47">
            <v>0</v>
          </cell>
          <cell r="Q47">
            <v>0</v>
          </cell>
          <cell r="R47">
            <v>-27013.419234971087</v>
          </cell>
          <cell r="S47">
            <v>-27013.419234971087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6152</v>
          </cell>
          <cell r="Y47">
            <v>1826296.7887072198</v>
          </cell>
        </row>
        <row r="48">
          <cell r="D48">
            <v>2296</v>
          </cell>
          <cell r="E48" t="str">
            <v>Grenoside Community Primary School</v>
          </cell>
          <cell r="F48">
            <v>341</v>
          </cell>
          <cell r="G48">
            <v>969725.31648753083</v>
          </cell>
          <cell r="H48">
            <v>19277.600812396908</v>
          </cell>
          <cell r="I48">
            <v>0</v>
          </cell>
          <cell r="J48">
            <v>28010.464304762932</v>
          </cell>
          <cell r="K48">
            <v>91710.045500229622</v>
          </cell>
          <cell r="L48">
            <v>782.88489640806961</v>
          </cell>
          <cell r="M48">
            <v>1109506.3120013282</v>
          </cell>
          <cell r="N48">
            <v>150000</v>
          </cell>
          <cell r="O48">
            <v>0</v>
          </cell>
          <cell r="P48">
            <v>0</v>
          </cell>
          <cell r="Q48">
            <v>0</v>
          </cell>
          <cell r="R48">
            <v>-44626.641127911593</v>
          </cell>
          <cell r="S48">
            <v>-44626.641127911593</v>
          </cell>
          <cell r="T48">
            <v>0</v>
          </cell>
          <cell r="U48">
            <v>0</v>
          </cell>
          <cell r="V48">
            <v>132634.79053400623</v>
          </cell>
          <cell r="W48">
            <v>0</v>
          </cell>
          <cell r="X48">
            <v>40673</v>
          </cell>
          <cell r="Y48">
            <v>1388187.4614074235</v>
          </cell>
        </row>
        <row r="49">
          <cell r="D49">
            <v>2356</v>
          </cell>
          <cell r="E49" t="str">
            <v>Greystones Primary School</v>
          </cell>
          <cell r="F49">
            <v>595</v>
          </cell>
          <cell r="G49">
            <v>1692042.7076541961</v>
          </cell>
          <cell r="H49">
            <v>12630.15225639798</v>
          </cell>
          <cell r="I49">
            <v>0</v>
          </cell>
          <cell r="J49">
            <v>8672.9648650068448</v>
          </cell>
          <cell r="K49">
            <v>143088.10597934696</v>
          </cell>
          <cell r="L49">
            <v>13074.675951557972</v>
          </cell>
          <cell r="M49">
            <v>1869508.6067065056</v>
          </cell>
          <cell r="N49">
            <v>150000</v>
          </cell>
          <cell r="O49">
            <v>0</v>
          </cell>
          <cell r="P49">
            <v>0</v>
          </cell>
          <cell r="Q49">
            <v>0</v>
          </cell>
          <cell r="R49">
            <v>-16856.342495699326</v>
          </cell>
          <cell r="S49">
            <v>-16856.342495699326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44863</v>
          </cell>
          <cell r="Y49">
            <v>2047515.2642108062</v>
          </cell>
        </row>
        <row r="50">
          <cell r="D50">
            <v>2279</v>
          </cell>
          <cell r="E50" t="str">
            <v>Halfway Junior School</v>
          </cell>
          <cell r="F50">
            <v>197</v>
          </cell>
          <cell r="G50">
            <v>560222.54354264971</v>
          </cell>
          <cell r="H50">
            <v>18612.855956796957</v>
          </cell>
          <cell r="I50">
            <v>0</v>
          </cell>
          <cell r="J50">
            <v>14205.831339735347</v>
          </cell>
          <cell r="K50">
            <v>49430.670575711069</v>
          </cell>
          <cell r="L50">
            <v>681.86749041993255</v>
          </cell>
          <cell r="M50">
            <v>643153.76890531287</v>
          </cell>
          <cell r="N50">
            <v>150000</v>
          </cell>
          <cell r="O50">
            <v>0</v>
          </cell>
          <cell r="P50">
            <v>0</v>
          </cell>
          <cell r="Q50">
            <v>0</v>
          </cell>
          <cell r="R50">
            <v>-812.53226733381882</v>
          </cell>
          <cell r="S50">
            <v>-812.53226733381882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12481</v>
          </cell>
          <cell r="Y50">
            <v>804822.23663797928</v>
          </cell>
        </row>
        <row r="51">
          <cell r="D51">
            <v>2252</v>
          </cell>
          <cell r="E51" t="str">
            <v>Halfway Nursery Infant School</v>
          </cell>
          <cell r="F51">
            <v>165</v>
          </cell>
          <cell r="G51">
            <v>469221.92733267619</v>
          </cell>
          <cell r="H51">
            <v>9971.172833998402</v>
          </cell>
          <cell r="I51">
            <v>0</v>
          </cell>
          <cell r="J51">
            <v>10988.105892657733</v>
          </cell>
          <cell r="K51">
            <v>35019.942898881025</v>
          </cell>
          <cell r="L51">
            <v>2934.994850068405</v>
          </cell>
          <cell r="M51">
            <v>528136.14380828163</v>
          </cell>
          <cell r="N51">
            <v>150000</v>
          </cell>
          <cell r="O51">
            <v>0</v>
          </cell>
          <cell r="P51">
            <v>0</v>
          </cell>
          <cell r="Q51">
            <v>0</v>
          </cell>
          <cell r="R51">
            <v>-5331.375962109405</v>
          </cell>
          <cell r="S51">
            <v>-5331.375962109405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16193</v>
          </cell>
          <cell r="Y51">
            <v>688997.76784617244</v>
          </cell>
        </row>
        <row r="52">
          <cell r="D52">
            <v>2357</v>
          </cell>
          <cell r="E52" t="str">
            <v>Hallam Primary School</v>
          </cell>
          <cell r="F52">
            <v>620</v>
          </cell>
          <cell r="G52">
            <v>1763136.9390682378</v>
          </cell>
          <cell r="H52">
            <v>13294.897111997856</v>
          </cell>
          <cell r="I52">
            <v>0</v>
          </cell>
          <cell r="J52">
            <v>8929.9416017478161</v>
          </cell>
          <cell r="K52">
            <v>122102.93088552699</v>
          </cell>
          <cell r="L52">
            <v>12666.901694692369</v>
          </cell>
          <cell r="M52">
            <v>1920131.6103622031</v>
          </cell>
          <cell r="N52">
            <v>150000</v>
          </cell>
          <cell r="O52">
            <v>0</v>
          </cell>
          <cell r="P52">
            <v>0</v>
          </cell>
          <cell r="Q52">
            <v>0</v>
          </cell>
          <cell r="R52">
            <v>-20716.324836050364</v>
          </cell>
          <cell r="S52">
            <v>-20716.324836050364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7888</v>
          </cell>
          <cell r="Y52">
            <v>2057303.2855261532</v>
          </cell>
        </row>
        <row r="53">
          <cell r="D53">
            <v>2050</v>
          </cell>
          <cell r="E53" t="str">
            <v>Hartley Brook Primary School</v>
          </cell>
          <cell r="F53">
            <v>602</v>
          </cell>
          <cell r="G53">
            <v>1711949.0924501277</v>
          </cell>
          <cell r="H53">
            <v>156879.78592157498</v>
          </cell>
          <cell r="I53">
            <v>0</v>
          </cell>
          <cell r="J53">
            <v>177635.16927217753</v>
          </cell>
          <cell r="K53">
            <v>256806.86223726743</v>
          </cell>
          <cell r="L53">
            <v>21287.342611877146</v>
          </cell>
          <cell r="M53">
            <v>2324558.2524930248</v>
          </cell>
          <cell r="N53">
            <v>150000</v>
          </cell>
          <cell r="O53">
            <v>6963.8607150513817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37039.832815595153</v>
          </cell>
          <cell r="U53">
            <v>37039.832815595153</v>
          </cell>
          <cell r="V53">
            <v>0</v>
          </cell>
          <cell r="W53">
            <v>0</v>
          </cell>
          <cell r="X53">
            <v>6475</v>
          </cell>
          <cell r="Y53">
            <v>2525036.946023671</v>
          </cell>
        </row>
        <row r="54">
          <cell r="D54">
            <v>2049</v>
          </cell>
          <cell r="E54" t="str">
            <v>Hatfield Academy</v>
          </cell>
          <cell r="F54">
            <v>382</v>
          </cell>
          <cell r="G54">
            <v>1086319.8560065595</v>
          </cell>
          <cell r="H54">
            <v>99711.728339984082</v>
          </cell>
          <cell r="I54">
            <v>0</v>
          </cell>
          <cell r="J54">
            <v>108572.67127304889</v>
          </cell>
          <cell r="K54">
            <v>168433.35114472249</v>
          </cell>
          <cell r="L54">
            <v>19886.440790959739</v>
          </cell>
          <cell r="M54">
            <v>1482924.0475552746</v>
          </cell>
          <cell r="N54">
            <v>150000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4930</v>
          </cell>
          <cell r="Y54">
            <v>1637854.0475552746</v>
          </cell>
        </row>
        <row r="55">
          <cell r="D55">
            <v>2297</v>
          </cell>
          <cell r="E55" t="str">
            <v>High Green Primary School</v>
          </cell>
          <cell r="F55">
            <v>210</v>
          </cell>
          <cell r="G55">
            <v>597191.54387795157</v>
          </cell>
          <cell r="H55">
            <v>7976.9382671987169</v>
          </cell>
          <cell r="I55">
            <v>0</v>
          </cell>
          <cell r="J55">
            <v>10651.009483341757</v>
          </cell>
          <cell r="K55">
            <v>57430.907497467502</v>
          </cell>
          <cell r="L55">
            <v>397.75603607829396</v>
          </cell>
          <cell r="M55">
            <v>673648.15516203782</v>
          </cell>
          <cell r="N55">
            <v>150000</v>
          </cell>
          <cell r="O55">
            <v>0</v>
          </cell>
          <cell r="P55">
            <v>0</v>
          </cell>
          <cell r="Q55">
            <v>0</v>
          </cell>
          <cell r="R55">
            <v>-10339.803098470458</v>
          </cell>
          <cell r="S55">
            <v>-10339.803098470458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10440</v>
          </cell>
          <cell r="Y55">
            <v>823748.35206356738</v>
          </cell>
        </row>
        <row r="56">
          <cell r="D56">
            <v>2042</v>
          </cell>
          <cell r="E56" t="str">
            <v>High Hazels Junior School</v>
          </cell>
          <cell r="F56">
            <v>354</v>
          </cell>
          <cell r="G56">
            <v>1006694.3168228326</v>
          </cell>
          <cell r="H56">
            <v>56503.312725990836</v>
          </cell>
          <cell r="I56">
            <v>0</v>
          </cell>
          <cell r="J56">
            <v>93025.578700221682</v>
          </cell>
          <cell r="K56">
            <v>189317.73568734797</v>
          </cell>
          <cell r="L56">
            <v>33752.440775786694</v>
          </cell>
          <cell r="M56">
            <v>1379293.3847121799</v>
          </cell>
          <cell r="N56">
            <v>150000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15976.642482138421</v>
          </cell>
          <cell r="U56">
            <v>15976.642482138421</v>
          </cell>
          <cell r="V56">
            <v>0</v>
          </cell>
          <cell r="W56">
            <v>0</v>
          </cell>
          <cell r="X56">
            <v>4318</v>
          </cell>
          <cell r="Y56">
            <v>1549588.0271943179</v>
          </cell>
        </row>
        <row r="57">
          <cell r="D57">
            <v>2039</v>
          </cell>
          <cell r="E57" t="str">
            <v>High Hazels Nursery Infant School</v>
          </cell>
          <cell r="F57">
            <v>259</v>
          </cell>
          <cell r="G57">
            <v>736536.23744947359</v>
          </cell>
          <cell r="H57">
            <v>35896.222202394165</v>
          </cell>
          <cell r="I57">
            <v>0</v>
          </cell>
          <cell r="J57">
            <v>66942.439921015903</v>
          </cell>
          <cell r="K57">
            <v>76728.215994405517</v>
          </cell>
          <cell r="L57">
            <v>68458.729894913544</v>
          </cell>
          <cell r="M57">
            <v>984561.84546220268</v>
          </cell>
          <cell r="N57">
            <v>150000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44565.917165871724</v>
          </cell>
          <cell r="U57">
            <v>44565.917165871724</v>
          </cell>
          <cell r="V57">
            <v>0</v>
          </cell>
          <cell r="W57">
            <v>0</v>
          </cell>
          <cell r="X57">
            <v>2903</v>
          </cell>
          <cell r="Y57">
            <v>1182030.7626280743</v>
          </cell>
        </row>
        <row r="58">
          <cell r="D58">
            <v>2339</v>
          </cell>
          <cell r="E58" t="str">
            <v>Hillsborough Primary School</v>
          </cell>
          <cell r="F58">
            <v>371</v>
          </cell>
          <cell r="G58">
            <v>1055038.394184381</v>
          </cell>
          <cell r="H58">
            <v>69798.209837988761</v>
          </cell>
          <cell r="I58">
            <v>0</v>
          </cell>
          <cell r="J58">
            <v>71182.556077241446</v>
          </cell>
          <cell r="K58">
            <v>183459.17232916469</v>
          </cell>
          <cell r="L58">
            <v>15956.748302734728</v>
          </cell>
          <cell r="M58">
            <v>1395435.0807315104</v>
          </cell>
          <cell r="N58">
            <v>150000</v>
          </cell>
          <cell r="O58">
            <v>3668.4623409645992</v>
          </cell>
          <cell r="P58">
            <v>0</v>
          </cell>
          <cell r="Q58">
            <v>0</v>
          </cell>
          <cell r="R58">
            <v>-24353.847504228521</v>
          </cell>
          <cell r="S58">
            <v>-24353.847504228521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4659</v>
          </cell>
          <cell r="Y58">
            <v>1529408.6955682468</v>
          </cell>
        </row>
        <row r="59">
          <cell r="D59">
            <v>2213</v>
          </cell>
          <cell r="E59" t="str">
            <v>Holt House Infant School</v>
          </cell>
          <cell r="F59">
            <v>176</v>
          </cell>
          <cell r="G59">
            <v>500503.38915485464</v>
          </cell>
          <cell r="H59">
            <v>9306.4279783985039</v>
          </cell>
          <cell r="I59">
            <v>0</v>
          </cell>
          <cell r="J59">
            <v>1356.8371699921831</v>
          </cell>
          <cell r="K59">
            <v>37685.177491185386</v>
          </cell>
          <cell r="L59">
            <v>4779.106658518459</v>
          </cell>
          <cell r="M59">
            <v>553630.93845294917</v>
          </cell>
          <cell r="N59">
            <v>150000</v>
          </cell>
          <cell r="O59">
            <v>0</v>
          </cell>
          <cell r="P59">
            <v>0</v>
          </cell>
          <cell r="Q59">
            <v>0</v>
          </cell>
          <cell r="R59">
            <v>-7988.7520815053167</v>
          </cell>
          <cell r="S59">
            <v>-7988.7520815053167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12600</v>
          </cell>
          <cell r="Y59">
            <v>708242.18637144403</v>
          </cell>
        </row>
        <row r="60">
          <cell r="D60">
            <v>2337</v>
          </cell>
          <cell r="E60" t="str">
            <v>Hucklow Primary School</v>
          </cell>
          <cell r="F60">
            <v>412</v>
          </cell>
          <cell r="G60">
            <v>1171632.9337034097</v>
          </cell>
          <cell r="H60">
            <v>80434.127527587247</v>
          </cell>
          <cell r="I60">
            <v>0</v>
          </cell>
          <cell r="J60">
            <v>110435.75261442069</v>
          </cell>
          <cell r="K60">
            <v>236382.45257953694</v>
          </cell>
          <cell r="L60">
            <v>63090.078478006872</v>
          </cell>
          <cell r="M60">
            <v>1661975.3449029615</v>
          </cell>
          <cell r="N60">
            <v>150000</v>
          </cell>
          <cell r="O60">
            <v>1933.7630944619334</v>
          </cell>
          <cell r="P60">
            <v>0</v>
          </cell>
          <cell r="Q60">
            <v>0</v>
          </cell>
          <cell r="R60">
            <v>-1545.3914041914072</v>
          </cell>
          <cell r="S60">
            <v>-1545.3914041914072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4560</v>
          </cell>
          <cell r="Y60">
            <v>1816923.716593232</v>
          </cell>
        </row>
        <row r="61">
          <cell r="D61">
            <v>2060</v>
          </cell>
          <cell r="E61" t="str">
            <v>Hunter's Bar Infant School</v>
          </cell>
          <cell r="F61">
            <v>263</v>
          </cell>
          <cell r="G61">
            <v>747911.31447572028</v>
          </cell>
          <cell r="H61">
            <v>18612.855956796982</v>
          </cell>
          <cell r="I61">
            <v>0</v>
          </cell>
          <cell r="J61">
            <v>12913.081021232432</v>
          </cell>
          <cell r="K61">
            <v>68372.814961841534</v>
          </cell>
          <cell r="L61">
            <v>13246.050850828136</v>
          </cell>
          <cell r="M61">
            <v>861056.11726641946</v>
          </cell>
          <cell r="N61">
            <v>150000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12852</v>
          </cell>
          <cell r="Y61">
            <v>1023908.1172664195</v>
          </cell>
        </row>
        <row r="62">
          <cell r="D62">
            <v>2058</v>
          </cell>
          <cell r="E62" t="str">
            <v>Hunter's Bar Junior School</v>
          </cell>
          <cell r="F62">
            <v>357</v>
          </cell>
          <cell r="G62">
            <v>1015225.6245925176</v>
          </cell>
          <cell r="H62">
            <v>20607.090523596693</v>
          </cell>
          <cell r="I62">
            <v>0</v>
          </cell>
          <cell r="J62">
            <v>19658.720360682251</v>
          </cell>
          <cell r="K62">
            <v>150236.79978420807</v>
          </cell>
          <cell r="L62">
            <v>2727.4699616797316</v>
          </cell>
          <cell r="M62">
            <v>1208455.7052226847</v>
          </cell>
          <cell r="N62">
            <v>150000</v>
          </cell>
          <cell r="O62">
            <v>0</v>
          </cell>
          <cell r="P62">
            <v>0</v>
          </cell>
          <cell r="Q62">
            <v>0</v>
          </cell>
          <cell r="R62">
            <v>-20225.538687773886</v>
          </cell>
          <cell r="S62">
            <v>-20225.538687773886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19439</v>
          </cell>
          <cell r="Y62">
            <v>1357669.1665349107</v>
          </cell>
        </row>
        <row r="63">
          <cell r="D63">
            <v>2063</v>
          </cell>
          <cell r="E63" t="str">
            <v>Intake Primary School</v>
          </cell>
          <cell r="F63">
            <v>414</v>
          </cell>
          <cell r="G63">
            <v>1177320.472216533</v>
          </cell>
          <cell r="H63">
            <v>32572.497924394695</v>
          </cell>
          <cell r="I63">
            <v>0</v>
          </cell>
          <cell r="J63">
            <v>38096.801221844958</v>
          </cell>
          <cell r="K63">
            <v>146655.66469633376</v>
          </cell>
          <cell r="L63">
            <v>2791.0338802781921</v>
          </cell>
          <cell r="M63">
            <v>1397436.4699393846</v>
          </cell>
          <cell r="N63">
            <v>150000</v>
          </cell>
          <cell r="O63">
            <v>0</v>
          </cell>
          <cell r="P63">
            <v>0</v>
          </cell>
          <cell r="Q63">
            <v>0</v>
          </cell>
          <cell r="R63">
            <v>-17933.740135014606</v>
          </cell>
          <cell r="S63">
            <v>-17933.740135014606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26622</v>
          </cell>
          <cell r="Y63">
            <v>1556124.7298043701</v>
          </cell>
        </row>
        <row r="64">
          <cell r="D64">
            <v>2261</v>
          </cell>
          <cell r="E64" t="str">
            <v>Limpsfield Junior School</v>
          </cell>
          <cell r="F64">
            <v>230</v>
          </cell>
          <cell r="G64">
            <v>654066.92900918506</v>
          </cell>
          <cell r="H64">
            <v>34566.732491194438</v>
          </cell>
          <cell r="I64">
            <v>0</v>
          </cell>
          <cell r="J64">
            <v>34370.638539101245</v>
          </cell>
          <cell r="K64">
            <v>97878.951281294183</v>
          </cell>
          <cell r="L64">
            <v>8290.5474606123862</v>
          </cell>
          <cell r="M64">
            <v>829173.79878138728</v>
          </cell>
          <cell r="N64">
            <v>150000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8928.146425304496</v>
          </cell>
          <cell r="U64">
            <v>8928.146425304496</v>
          </cell>
          <cell r="V64">
            <v>0</v>
          </cell>
          <cell r="W64">
            <v>0</v>
          </cell>
          <cell r="X64">
            <v>16974</v>
          </cell>
          <cell r="Y64">
            <v>1005075.9452066917</v>
          </cell>
        </row>
        <row r="65">
          <cell r="D65">
            <v>2315</v>
          </cell>
          <cell r="E65" t="str">
            <v>Lound Infant School</v>
          </cell>
          <cell r="F65">
            <v>159</v>
          </cell>
          <cell r="G65">
            <v>452159.31179330614</v>
          </cell>
          <cell r="H65">
            <v>6647.4485559989362</v>
          </cell>
          <cell r="I65">
            <v>0</v>
          </cell>
          <cell r="J65">
            <v>4368.6045245960486</v>
          </cell>
          <cell r="K65">
            <v>28838.829902554065</v>
          </cell>
          <cell r="L65">
            <v>467.31435765848767</v>
          </cell>
          <cell r="M65">
            <v>492481.50913411367</v>
          </cell>
          <cell r="N65">
            <v>150000</v>
          </cell>
          <cell r="O65">
            <v>0</v>
          </cell>
          <cell r="P65">
            <v>0</v>
          </cell>
          <cell r="Q65">
            <v>0</v>
          </cell>
          <cell r="R65">
            <v>-2421.663525199966</v>
          </cell>
          <cell r="S65">
            <v>-2421.663525199966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2588</v>
          </cell>
          <cell r="Y65">
            <v>642647.84560891369</v>
          </cell>
        </row>
        <row r="66">
          <cell r="D66">
            <v>2298</v>
          </cell>
          <cell r="E66" t="str">
            <v>Lound Junior School</v>
          </cell>
          <cell r="F66">
            <v>237</v>
          </cell>
          <cell r="G66">
            <v>673973.31380511669</v>
          </cell>
          <cell r="H66">
            <v>12630.152256397974</v>
          </cell>
          <cell r="I66">
            <v>0</v>
          </cell>
          <cell r="J66">
            <v>7709.3021022283137</v>
          </cell>
          <cell r="K66">
            <v>70118.215020542775</v>
          </cell>
          <cell r="L66">
            <v>681.86749041993164</v>
          </cell>
          <cell r="M66">
            <v>765112.85067470558</v>
          </cell>
          <cell r="N66">
            <v>150000</v>
          </cell>
          <cell r="O66">
            <v>0</v>
          </cell>
          <cell r="P66">
            <v>0</v>
          </cell>
          <cell r="Q66">
            <v>0</v>
          </cell>
          <cell r="R66">
            <v>-40619.038518034453</v>
          </cell>
          <cell r="S66">
            <v>-40619.038518034453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3057</v>
          </cell>
          <cell r="Y66">
            <v>877550.81215667131</v>
          </cell>
        </row>
        <row r="67">
          <cell r="D67">
            <v>2029</v>
          </cell>
          <cell r="E67" t="str">
            <v>Lowedges Junior Academy</v>
          </cell>
          <cell r="F67">
            <v>318</v>
          </cell>
          <cell r="G67">
            <v>904318.62358661229</v>
          </cell>
          <cell r="H67">
            <v>81763.617238786974</v>
          </cell>
          <cell r="I67">
            <v>0</v>
          </cell>
          <cell r="J67">
            <v>77285.753574838833</v>
          </cell>
          <cell r="K67">
            <v>138939.79098117445</v>
          </cell>
          <cell r="L67">
            <v>11834.242465774125</v>
          </cell>
          <cell r="M67">
            <v>1214142.0278471867</v>
          </cell>
          <cell r="N67">
            <v>150000</v>
          </cell>
          <cell r="O67">
            <v>5744.413898254551</v>
          </cell>
          <cell r="P67">
            <v>0</v>
          </cell>
          <cell r="Q67">
            <v>0</v>
          </cell>
          <cell r="R67">
            <v>-9173.0317383542078</v>
          </cell>
          <cell r="S67">
            <v>-9173.0317383542078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3963</v>
          </cell>
          <cell r="Y67">
            <v>1364676.4100070868</v>
          </cell>
        </row>
        <row r="68">
          <cell r="D68">
            <v>2045</v>
          </cell>
          <cell r="E68" t="str">
            <v>Lower Meadow Primary School</v>
          </cell>
          <cell r="F68">
            <v>255</v>
          </cell>
          <cell r="G68">
            <v>725161.16042322689</v>
          </cell>
          <cell r="H68">
            <v>86416.831227986084</v>
          </cell>
          <cell r="I68">
            <v>0</v>
          </cell>
          <cell r="J68">
            <v>69447.963104240087</v>
          </cell>
          <cell r="K68">
            <v>132267.39197045824</v>
          </cell>
          <cell r="L68">
            <v>4785.5837630389697</v>
          </cell>
          <cell r="M68">
            <v>1018078.9304889503</v>
          </cell>
          <cell r="N68">
            <v>150000</v>
          </cell>
          <cell r="O68">
            <v>3353.5120857517149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5127</v>
          </cell>
          <cell r="Y68">
            <v>1176559.442574702</v>
          </cell>
        </row>
        <row r="69">
          <cell r="D69">
            <v>2070</v>
          </cell>
          <cell r="E69" t="str">
            <v>Lowfield Community Primary School</v>
          </cell>
          <cell r="F69">
            <v>357</v>
          </cell>
          <cell r="G69">
            <v>1015225.6245925176</v>
          </cell>
          <cell r="H69">
            <v>81763.617238786799</v>
          </cell>
          <cell r="I69">
            <v>0</v>
          </cell>
          <cell r="J69">
            <v>68869.765446573016</v>
          </cell>
          <cell r="K69">
            <v>162522.60255330135</v>
          </cell>
          <cell r="L69">
            <v>57735.818467672274</v>
          </cell>
          <cell r="M69">
            <v>1386117.428298851</v>
          </cell>
          <cell r="N69">
            <v>150000</v>
          </cell>
          <cell r="O69">
            <v>3213.4592599147145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31184.033749134735</v>
          </cell>
          <cell r="U69">
            <v>31184.033749134735</v>
          </cell>
          <cell r="V69">
            <v>0</v>
          </cell>
          <cell r="W69">
            <v>0</v>
          </cell>
          <cell r="X69">
            <v>20635</v>
          </cell>
          <cell r="Y69">
            <v>1591149.9213079005</v>
          </cell>
        </row>
        <row r="70">
          <cell r="D70">
            <v>2292</v>
          </cell>
          <cell r="E70" t="str">
            <v>Loxley Primary School</v>
          </cell>
          <cell r="F70">
            <v>210</v>
          </cell>
          <cell r="G70">
            <v>597191.54387795157</v>
          </cell>
          <cell r="H70">
            <v>5982.7037003990472</v>
          </cell>
          <cell r="I70">
            <v>0</v>
          </cell>
          <cell r="J70">
            <v>3469.1859460027399</v>
          </cell>
          <cell r="K70">
            <v>46067.356072531024</v>
          </cell>
          <cell r="L70">
            <v>0</v>
          </cell>
          <cell r="M70">
            <v>652710.78959688428</v>
          </cell>
          <cell r="N70">
            <v>150000</v>
          </cell>
          <cell r="O70">
            <v>0</v>
          </cell>
          <cell r="P70">
            <v>0</v>
          </cell>
          <cell r="Q70">
            <v>0</v>
          </cell>
          <cell r="R70">
            <v>-17443.16434676871</v>
          </cell>
          <cell r="S70">
            <v>-17443.16434676871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13560</v>
          </cell>
          <cell r="Y70">
            <v>798827.62525011552</v>
          </cell>
        </row>
        <row r="71">
          <cell r="D71">
            <v>2072</v>
          </cell>
          <cell r="E71" t="str">
            <v>Lydgate Infant School</v>
          </cell>
          <cell r="F71">
            <v>356</v>
          </cell>
          <cell r="G71">
            <v>1012381.855335956</v>
          </cell>
          <cell r="H71">
            <v>8641.683122798624</v>
          </cell>
          <cell r="I71">
            <v>0</v>
          </cell>
          <cell r="J71">
            <v>2184.3022622980279</v>
          </cell>
          <cell r="K71">
            <v>93231.391953528946</v>
          </cell>
          <cell r="L71">
            <v>16758.534053249663</v>
          </cell>
          <cell r="M71">
            <v>1133197.7667278312</v>
          </cell>
          <cell r="N71">
            <v>150000</v>
          </cell>
          <cell r="O71">
            <v>0</v>
          </cell>
          <cell r="P71">
            <v>0</v>
          </cell>
          <cell r="Q71">
            <v>0</v>
          </cell>
          <cell r="R71">
            <v>-7271.6894606334063</v>
          </cell>
          <cell r="S71">
            <v>-7271.6894606334063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19696</v>
          </cell>
          <cell r="Y71">
            <v>1295622.0772671979</v>
          </cell>
        </row>
        <row r="72">
          <cell r="D72">
            <v>2071</v>
          </cell>
          <cell r="E72" t="str">
            <v>Lydgate Junior School</v>
          </cell>
          <cell r="F72">
            <v>477</v>
          </cell>
          <cell r="G72">
            <v>1356477.9353799184</v>
          </cell>
          <cell r="H72">
            <v>9306.4279783984985</v>
          </cell>
          <cell r="I72">
            <v>0</v>
          </cell>
          <cell r="J72">
            <v>6488.6626027088423</v>
          </cell>
          <cell r="K72">
            <v>135285.99436134007</v>
          </cell>
          <cell r="L72">
            <v>8523.3436302491427</v>
          </cell>
          <cell r="M72">
            <v>1516082.3639526151</v>
          </cell>
          <cell r="N72">
            <v>150000</v>
          </cell>
          <cell r="O72">
            <v>0</v>
          </cell>
          <cell r="P72">
            <v>0</v>
          </cell>
          <cell r="Q72">
            <v>0</v>
          </cell>
          <cell r="R72">
            <v>-33696.4063961504</v>
          </cell>
          <cell r="S72">
            <v>-33696.4063961504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22200</v>
          </cell>
          <cell r="Y72">
            <v>1654585.9575564642</v>
          </cell>
        </row>
        <row r="73">
          <cell r="D73">
            <v>2358</v>
          </cell>
          <cell r="E73" t="str">
            <v>Malin Bridge Primary School</v>
          </cell>
          <cell r="F73">
            <v>528</v>
          </cell>
          <cell r="G73">
            <v>1501510.1674645639</v>
          </cell>
          <cell r="H73">
            <v>45202.650180792836</v>
          </cell>
          <cell r="I73">
            <v>0</v>
          </cell>
          <cell r="J73">
            <v>18181.104124421803</v>
          </cell>
          <cell r="K73">
            <v>177875.2451915461</v>
          </cell>
          <cell r="L73">
            <v>7184.5550210100091</v>
          </cell>
          <cell r="M73">
            <v>1749953.7219823347</v>
          </cell>
          <cell r="N73">
            <v>150000</v>
          </cell>
          <cell r="O73">
            <v>0</v>
          </cell>
          <cell r="P73">
            <v>0</v>
          </cell>
          <cell r="Q73">
            <v>0</v>
          </cell>
          <cell r="R73">
            <v>-10698.613463076006</v>
          </cell>
          <cell r="S73">
            <v>-10698.613463076006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26622</v>
          </cell>
          <cell r="Y73">
            <v>1915877.1085192591</v>
          </cell>
        </row>
        <row r="74">
          <cell r="D74">
            <v>2359</v>
          </cell>
          <cell r="E74" t="str">
            <v>Manor Lodge Community Primary and Nursery School</v>
          </cell>
          <cell r="F74">
            <v>293</v>
          </cell>
          <cell r="G74">
            <v>833224.39217257046</v>
          </cell>
          <cell r="H74">
            <v>77110.403249587587</v>
          </cell>
          <cell r="I74">
            <v>0</v>
          </cell>
          <cell r="J74">
            <v>62445.347028049408</v>
          </cell>
          <cell r="K74">
            <v>157847.57279330108</v>
          </cell>
          <cell r="L74">
            <v>23146.075116876618</v>
          </cell>
          <cell r="M74">
            <v>1153773.7903603851</v>
          </cell>
          <cell r="N74">
            <v>150000</v>
          </cell>
          <cell r="O74">
            <v>4180.3408071456761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10956.149762557794</v>
          </cell>
          <cell r="U74">
            <v>10956.149762557794</v>
          </cell>
          <cell r="V74">
            <v>0</v>
          </cell>
          <cell r="W74">
            <v>0</v>
          </cell>
          <cell r="X74">
            <v>3336</v>
          </cell>
          <cell r="Y74">
            <v>1322246.2809300884</v>
          </cell>
        </row>
        <row r="75">
          <cell r="D75">
            <v>2012</v>
          </cell>
          <cell r="E75" t="str">
            <v>Mansel Primary</v>
          </cell>
          <cell r="F75">
            <v>386</v>
          </cell>
          <cell r="G75">
            <v>1097694.933032806</v>
          </cell>
          <cell r="H75">
            <v>103035.45261798357</v>
          </cell>
          <cell r="I75">
            <v>0</v>
          </cell>
          <cell r="J75">
            <v>102019.76448615464</v>
          </cell>
          <cell r="K75">
            <v>218113.5155694852</v>
          </cell>
          <cell r="L75">
            <v>5617.0913387641976</v>
          </cell>
          <cell r="M75">
            <v>1526480.7570451936</v>
          </cell>
          <cell r="N75">
            <v>150000</v>
          </cell>
          <cell r="O75">
            <v>1251.2584728871414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4134</v>
          </cell>
          <cell r="Y75">
            <v>1681866.0155180809</v>
          </cell>
        </row>
        <row r="76">
          <cell r="D76">
            <v>2079</v>
          </cell>
          <cell r="E76" t="str">
            <v>Marlcliffe Community Primary School</v>
          </cell>
          <cell r="F76">
            <v>508</v>
          </cell>
          <cell r="G76">
            <v>1444634.7823333305</v>
          </cell>
          <cell r="H76">
            <v>36560.967057994123</v>
          </cell>
          <cell r="I76">
            <v>0</v>
          </cell>
          <cell r="J76">
            <v>23898.836516907795</v>
          </cell>
          <cell r="K76">
            <v>138539.29312214564</v>
          </cell>
          <cell r="L76">
            <v>5999.8040150114093</v>
          </cell>
          <cell r="M76">
            <v>1649633.6830453894</v>
          </cell>
          <cell r="N76">
            <v>150000</v>
          </cell>
          <cell r="O76">
            <v>0</v>
          </cell>
          <cell r="P76">
            <v>0</v>
          </cell>
          <cell r="Q76">
            <v>0</v>
          </cell>
          <cell r="R76">
            <v>-39505.861039276861</v>
          </cell>
          <cell r="S76">
            <v>-39505.861039276861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26400</v>
          </cell>
          <cell r="Y76">
            <v>1786527.8220061129</v>
          </cell>
        </row>
        <row r="77">
          <cell r="D77">
            <v>2081</v>
          </cell>
          <cell r="E77" t="str">
            <v>Meersbrook Bank Primary School</v>
          </cell>
          <cell r="F77">
            <v>207</v>
          </cell>
          <cell r="G77">
            <v>588660.23610826652</v>
          </cell>
          <cell r="H77">
            <v>9306.4279783985112</v>
          </cell>
          <cell r="I77">
            <v>0</v>
          </cell>
          <cell r="J77">
            <v>4047.3836036698681</v>
          </cell>
          <cell r="K77">
            <v>72033.78516844871</v>
          </cell>
          <cell r="L77">
            <v>5582.0677605563915</v>
          </cell>
          <cell r="M77">
            <v>679629.9006193399</v>
          </cell>
          <cell r="N77">
            <v>150000</v>
          </cell>
          <cell r="O77">
            <v>0</v>
          </cell>
          <cell r="P77">
            <v>0</v>
          </cell>
          <cell r="Q77">
            <v>0</v>
          </cell>
          <cell r="R77">
            <v>-6891.2340735871039</v>
          </cell>
          <cell r="S77">
            <v>-6891.2340735871039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13313</v>
          </cell>
          <cell r="Y77">
            <v>836051.66654575302</v>
          </cell>
        </row>
        <row r="78">
          <cell r="D78">
            <v>2013</v>
          </cell>
          <cell r="E78" t="str">
            <v>Meynell Community Primary School</v>
          </cell>
          <cell r="F78">
            <v>390</v>
          </cell>
          <cell r="G78">
            <v>1109070.0100590528</v>
          </cell>
          <cell r="H78">
            <v>133613.7159755785</v>
          </cell>
          <cell r="I78">
            <v>0</v>
          </cell>
          <cell r="J78">
            <v>116988.6594013147</v>
          </cell>
          <cell r="K78">
            <v>216892.14931060342</v>
          </cell>
          <cell r="L78">
            <v>8578.3329439926983</v>
          </cell>
          <cell r="M78">
            <v>1585142.8676905422</v>
          </cell>
          <cell r="N78">
            <v>150000</v>
          </cell>
          <cell r="O78">
            <v>0</v>
          </cell>
          <cell r="P78">
            <v>0</v>
          </cell>
          <cell r="Q78">
            <v>0</v>
          </cell>
          <cell r="R78">
            <v>-21924.682833706502</v>
          </cell>
          <cell r="S78">
            <v>-21924.682833706502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5916</v>
          </cell>
          <cell r="Y78">
            <v>1719134.1848568358</v>
          </cell>
        </row>
        <row r="79">
          <cell r="D79">
            <v>2346</v>
          </cell>
          <cell r="E79" t="str">
            <v>Monteney Primary School</v>
          </cell>
          <cell r="F79">
            <v>415</v>
          </cell>
          <cell r="G79">
            <v>1180164.2414730948</v>
          </cell>
          <cell r="H79">
            <v>50520.609025591926</v>
          </cell>
          <cell r="I79">
            <v>0</v>
          </cell>
          <cell r="J79">
            <v>66107.265526607924</v>
          </cell>
          <cell r="K79">
            <v>142574.30419357642</v>
          </cell>
          <cell r="L79">
            <v>401.95313710834051</v>
          </cell>
          <cell r="M79">
            <v>1439768.3733559793</v>
          </cell>
          <cell r="N79">
            <v>150000</v>
          </cell>
          <cell r="O79">
            <v>0</v>
          </cell>
          <cell r="P79">
            <v>0</v>
          </cell>
          <cell r="Q79">
            <v>0</v>
          </cell>
          <cell r="R79">
            <v>-2373.7391832639059</v>
          </cell>
          <cell r="S79">
            <v>-2373.7391832639059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5268</v>
          </cell>
          <cell r="Y79">
            <v>1592662.6341727155</v>
          </cell>
        </row>
        <row r="80">
          <cell r="D80">
            <v>2257</v>
          </cell>
          <cell r="E80" t="str">
            <v>Mosborough Primary School</v>
          </cell>
          <cell r="F80">
            <v>411</v>
          </cell>
          <cell r="G80">
            <v>1168789.164446848</v>
          </cell>
          <cell r="H80">
            <v>24595.559657196056</v>
          </cell>
          <cell r="I80">
            <v>0</v>
          </cell>
          <cell r="J80">
            <v>7195.3486287464293</v>
          </cell>
          <cell r="K80">
            <v>129794.62916193738</v>
          </cell>
          <cell r="L80">
            <v>0</v>
          </cell>
          <cell r="M80">
            <v>1330374.7018947278</v>
          </cell>
          <cell r="N80">
            <v>150000</v>
          </cell>
          <cell r="O80">
            <v>0</v>
          </cell>
          <cell r="P80">
            <v>0</v>
          </cell>
          <cell r="Q80">
            <v>0</v>
          </cell>
          <cell r="R80">
            <v>-25726.624352845254</v>
          </cell>
          <cell r="S80">
            <v>-25726.624352845254</v>
          </cell>
          <cell r="T80">
            <v>0</v>
          </cell>
          <cell r="U80">
            <v>0</v>
          </cell>
          <cell r="V80">
            <v>152491.35137281046</v>
          </cell>
          <cell r="W80">
            <v>0</v>
          </cell>
          <cell r="X80">
            <v>35040</v>
          </cell>
          <cell r="Y80">
            <v>1642179.428914693</v>
          </cell>
        </row>
        <row r="81">
          <cell r="D81">
            <v>2092</v>
          </cell>
          <cell r="E81" t="str">
            <v>Mundella Primary School</v>
          </cell>
          <cell r="F81">
            <v>405</v>
          </cell>
          <cell r="G81">
            <v>1151726.5489074779</v>
          </cell>
          <cell r="H81">
            <v>23930.814801596171</v>
          </cell>
          <cell r="I81">
            <v>0</v>
          </cell>
          <cell r="J81">
            <v>30002.034014505218</v>
          </cell>
          <cell r="K81">
            <v>145754.47697026571</v>
          </cell>
          <cell r="L81">
            <v>800.45314092774584</v>
          </cell>
          <cell r="M81">
            <v>1352214.3278347726</v>
          </cell>
          <cell r="N81">
            <v>150000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27577</v>
          </cell>
          <cell r="Y81">
            <v>1529791.3278347726</v>
          </cell>
        </row>
        <row r="82">
          <cell r="D82">
            <v>2002</v>
          </cell>
          <cell r="E82" t="str">
            <v>Nether Edge Primary School</v>
          </cell>
          <cell r="F82">
            <v>393</v>
          </cell>
          <cell r="G82">
            <v>1117601.3178287379</v>
          </cell>
          <cell r="H82">
            <v>46532.139891992549</v>
          </cell>
          <cell r="I82">
            <v>0</v>
          </cell>
          <cell r="J82">
            <v>22228.487728091648</v>
          </cell>
          <cell r="K82">
            <v>213501.31469823152</v>
          </cell>
          <cell r="L82">
            <v>52637.735019381551</v>
          </cell>
          <cell r="M82">
            <v>1452500.9951664354</v>
          </cell>
          <cell r="N82">
            <v>150000</v>
          </cell>
          <cell r="O82">
            <v>7024.110063707345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2916</v>
          </cell>
          <cell r="Y82">
            <v>1612441.1052301428</v>
          </cell>
        </row>
        <row r="83">
          <cell r="D83">
            <v>2221</v>
          </cell>
          <cell r="E83" t="str">
            <v>Nether Green Infant School</v>
          </cell>
          <cell r="F83">
            <v>208</v>
          </cell>
          <cell r="G83">
            <v>591504.00536482816</v>
          </cell>
          <cell r="H83">
            <v>5317.9588447991528</v>
          </cell>
          <cell r="I83">
            <v>0</v>
          </cell>
          <cell r="J83">
            <v>2055.8138939275495</v>
          </cell>
          <cell r="K83">
            <v>30603.126528953966</v>
          </cell>
          <cell r="L83">
            <v>10270.335166049215</v>
          </cell>
          <cell r="M83">
            <v>639751.23979855806</v>
          </cell>
          <cell r="N83">
            <v>150000</v>
          </cell>
          <cell r="O83">
            <v>0</v>
          </cell>
          <cell r="P83">
            <v>0</v>
          </cell>
          <cell r="Q83">
            <v>0</v>
          </cell>
          <cell r="R83">
            <v>-14782.01533100182</v>
          </cell>
          <cell r="S83">
            <v>-14782.01533100182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13146</v>
          </cell>
          <cell r="Y83">
            <v>788115.22446755646</v>
          </cell>
        </row>
        <row r="84">
          <cell r="D84">
            <v>2087</v>
          </cell>
          <cell r="E84" t="str">
            <v>Nether Green Junior School</v>
          </cell>
          <cell r="F84">
            <v>380</v>
          </cell>
          <cell r="G84">
            <v>1080632.3174934362</v>
          </cell>
          <cell r="H84">
            <v>4653.2139891992429</v>
          </cell>
          <cell r="I84">
            <v>0</v>
          </cell>
          <cell r="J84">
            <v>6295.9300501531188</v>
          </cell>
          <cell r="K84">
            <v>92910.579952413929</v>
          </cell>
          <cell r="L84">
            <v>9205.2111206690861</v>
          </cell>
          <cell r="M84">
            <v>1193697.2526058713</v>
          </cell>
          <cell r="N84">
            <v>150000</v>
          </cell>
          <cell r="O84">
            <v>0</v>
          </cell>
          <cell r="P84">
            <v>0</v>
          </cell>
          <cell r="Q84">
            <v>0</v>
          </cell>
          <cell r="R84">
            <v>-32732.534111500016</v>
          </cell>
          <cell r="S84">
            <v>-32732.534111500016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20280</v>
          </cell>
          <cell r="Y84">
            <v>1331244.7184943717</v>
          </cell>
        </row>
        <row r="85">
          <cell r="D85">
            <v>2272</v>
          </cell>
          <cell r="E85" t="str">
            <v>Netherthorpe Primary School</v>
          </cell>
          <cell r="F85">
            <v>209</v>
          </cell>
          <cell r="G85">
            <v>594347.77462138981</v>
          </cell>
          <cell r="H85">
            <v>44537.905325192893</v>
          </cell>
          <cell r="I85">
            <v>0</v>
          </cell>
          <cell r="J85">
            <v>46127.324244999487</v>
          </cell>
          <cell r="K85">
            <v>113819.01343188113</v>
          </cell>
          <cell r="L85">
            <v>37418.907030139599</v>
          </cell>
          <cell r="M85">
            <v>836250.92465360276</v>
          </cell>
          <cell r="N85">
            <v>150000</v>
          </cell>
          <cell r="O85">
            <v>3440.96080043961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17170</v>
          </cell>
          <cell r="Y85">
            <v>1006861.8854540423</v>
          </cell>
        </row>
        <row r="86">
          <cell r="D86">
            <v>2309</v>
          </cell>
          <cell r="E86" t="str">
            <v>Nook Lane Junior School</v>
          </cell>
          <cell r="F86">
            <v>247</v>
          </cell>
          <cell r="G86">
            <v>702411.00637073349</v>
          </cell>
          <cell r="H86">
            <v>12630.152256397972</v>
          </cell>
          <cell r="I86">
            <v>0</v>
          </cell>
          <cell r="J86">
            <v>5011.0463664484087</v>
          </cell>
          <cell r="K86">
            <v>101613.76164296363</v>
          </cell>
          <cell r="L86">
            <v>681.86749041993164</v>
          </cell>
          <cell r="M86">
            <v>822347.8341269634</v>
          </cell>
          <cell r="N86">
            <v>150000</v>
          </cell>
          <cell r="O86">
            <v>0</v>
          </cell>
          <cell r="P86">
            <v>0</v>
          </cell>
          <cell r="Q86">
            <v>0</v>
          </cell>
          <cell r="R86">
            <v>-27232.25466047036</v>
          </cell>
          <cell r="S86">
            <v>-27232.25466047036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16474</v>
          </cell>
          <cell r="Y86">
            <v>961589.57946649299</v>
          </cell>
        </row>
        <row r="87">
          <cell r="D87">
            <v>2000</v>
          </cell>
          <cell r="E87" t="str">
            <v>Norfolk Community Primary School</v>
          </cell>
          <cell r="F87">
            <v>389</v>
          </cell>
          <cell r="G87">
            <v>1106226.2408024911</v>
          </cell>
          <cell r="H87">
            <v>94393.769495184868</v>
          </cell>
          <cell r="I87">
            <v>0</v>
          </cell>
          <cell r="J87">
            <v>109921.79914093882</v>
          </cell>
          <cell r="K87">
            <v>210974.08591745025</v>
          </cell>
          <cell r="L87">
            <v>16322.858693744824</v>
          </cell>
          <cell r="M87">
            <v>1537838.7540498096</v>
          </cell>
          <cell r="N87">
            <v>150000</v>
          </cell>
          <cell r="O87">
            <v>0</v>
          </cell>
          <cell r="P87">
            <v>0</v>
          </cell>
          <cell r="Q87">
            <v>0</v>
          </cell>
          <cell r="R87">
            <v>-9854.8960060578611</v>
          </cell>
          <cell r="S87">
            <v>-9854.8960060578611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10550</v>
          </cell>
          <cell r="Y87">
            <v>1688533.8580437517</v>
          </cell>
        </row>
        <row r="88">
          <cell r="D88">
            <v>3010</v>
          </cell>
          <cell r="E88" t="str">
            <v>Norton Free Church of England Primary School</v>
          </cell>
          <cell r="F88">
            <v>214</v>
          </cell>
          <cell r="G88">
            <v>608566.62090419827</v>
          </cell>
          <cell r="H88">
            <v>10635.917689598295</v>
          </cell>
          <cell r="I88">
            <v>0</v>
          </cell>
          <cell r="J88">
            <v>15804.069309568045</v>
          </cell>
          <cell r="K88">
            <v>94912.022317373194</v>
          </cell>
          <cell r="L88">
            <v>0</v>
          </cell>
          <cell r="M88">
            <v>729918.63022073777</v>
          </cell>
          <cell r="N88">
            <v>150000</v>
          </cell>
          <cell r="O88">
            <v>0</v>
          </cell>
          <cell r="P88">
            <v>0</v>
          </cell>
          <cell r="Q88">
            <v>0</v>
          </cell>
          <cell r="R88">
            <v>-58708.812448375291</v>
          </cell>
          <cell r="S88">
            <v>-58708.812448375291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4412</v>
          </cell>
          <cell r="Y88">
            <v>825621.81777236226</v>
          </cell>
        </row>
        <row r="89">
          <cell r="D89">
            <v>2018</v>
          </cell>
          <cell r="E89" t="str">
            <v>Oasis Academy Fir Vale</v>
          </cell>
          <cell r="F89">
            <v>324.66666666666663</v>
          </cell>
          <cell r="G89">
            <v>923277.08529702341</v>
          </cell>
          <cell r="H89">
            <v>94464.562344556514</v>
          </cell>
          <cell r="I89">
            <v>0</v>
          </cell>
          <cell r="J89">
            <v>68857.959891359438</v>
          </cell>
          <cell r="K89">
            <v>301317.28434670123</v>
          </cell>
          <cell r="L89">
            <v>77736.363971436731</v>
          </cell>
          <cell r="M89">
            <v>1465653.2558510771</v>
          </cell>
          <cell r="N89">
            <v>150000</v>
          </cell>
          <cell r="O89">
            <v>16135.225739855287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48208.533441516869</v>
          </cell>
          <cell r="U89">
            <v>48208.533441516869</v>
          </cell>
          <cell r="V89">
            <v>0</v>
          </cell>
          <cell r="W89">
            <v>0</v>
          </cell>
          <cell r="X89">
            <v>10101</v>
          </cell>
          <cell r="Y89">
            <v>1690098.0150324497</v>
          </cell>
        </row>
        <row r="90">
          <cell r="D90">
            <v>2019</v>
          </cell>
          <cell r="E90" t="str">
            <v>Oasis Academy Watermead</v>
          </cell>
          <cell r="F90">
            <v>273.75</v>
          </cell>
          <cell r="G90">
            <v>778481.83398375823</v>
          </cell>
          <cell r="H90">
            <v>67711.22017505893</v>
          </cell>
          <cell r="I90">
            <v>0</v>
          </cell>
          <cell r="J90">
            <v>71165.374493098876</v>
          </cell>
          <cell r="K90">
            <v>163364.84191976624</v>
          </cell>
          <cell r="L90">
            <v>28878.081972353084</v>
          </cell>
          <cell r="M90">
            <v>1109601.3525440355</v>
          </cell>
          <cell r="N90">
            <v>150000</v>
          </cell>
          <cell r="O90">
            <v>17862.83898133273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55715.906796669347</v>
          </cell>
          <cell r="U90">
            <v>55715.906796669347</v>
          </cell>
          <cell r="V90">
            <v>0</v>
          </cell>
          <cell r="W90">
            <v>0</v>
          </cell>
          <cell r="X90">
            <v>11686</v>
          </cell>
          <cell r="Y90">
            <v>1344866.0983220371</v>
          </cell>
        </row>
        <row r="91">
          <cell r="D91">
            <v>2313</v>
          </cell>
          <cell r="E91" t="str">
            <v>Oughtibridge Primary School</v>
          </cell>
          <cell r="F91">
            <v>411</v>
          </cell>
          <cell r="G91">
            <v>1168789.164446848</v>
          </cell>
          <cell r="H91">
            <v>13959.641967597761</v>
          </cell>
          <cell r="I91">
            <v>0</v>
          </cell>
          <cell r="J91">
            <v>1094.8149143957162</v>
          </cell>
          <cell r="K91">
            <v>93623.470162923622</v>
          </cell>
          <cell r="L91">
            <v>800.70725303597669</v>
          </cell>
          <cell r="M91">
            <v>1278267.7987448012</v>
          </cell>
          <cell r="N91">
            <v>150000</v>
          </cell>
          <cell r="O91">
            <v>0</v>
          </cell>
          <cell r="P91">
            <v>0</v>
          </cell>
          <cell r="Q91">
            <v>0</v>
          </cell>
          <cell r="R91">
            <v>-22832.112565061267</v>
          </cell>
          <cell r="S91">
            <v>-22832.112565061267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31965</v>
          </cell>
          <cell r="Y91">
            <v>1437400.6861797404</v>
          </cell>
        </row>
        <row r="92">
          <cell r="D92">
            <v>2093</v>
          </cell>
          <cell r="E92" t="str">
            <v>Owler Brook Primary School</v>
          </cell>
          <cell r="F92">
            <v>448</v>
          </cell>
          <cell r="G92">
            <v>1274008.6269396299</v>
          </cell>
          <cell r="H92">
            <v>116995.0945855813</v>
          </cell>
          <cell r="I92">
            <v>0</v>
          </cell>
          <cell r="J92">
            <v>97843.892514114501</v>
          </cell>
          <cell r="K92">
            <v>277759.36306671443</v>
          </cell>
          <cell r="L92">
            <v>75194.248789693374</v>
          </cell>
          <cell r="M92">
            <v>1841801.2258957336</v>
          </cell>
          <cell r="N92">
            <v>150000</v>
          </cell>
          <cell r="O92">
            <v>5175.6600469422456</v>
          </cell>
          <cell r="P92">
            <v>0</v>
          </cell>
          <cell r="Q92">
            <v>0</v>
          </cell>
          <cell r="R92">
            <v>-4792.8153959722868</v>
          </cell>
          <cell r="S92">
            <v>-4792.8153959722868</v>
          </cell>
          <cell r="T92">
            <v>0</v>
          </cell>
          <cell r="U92">
            <v>0</v>
          </cell>
          <cell r="V92">
            <v>166219.28324822162</v>
          </cell>
          <cell r="W92">
            <v>0</v>
          </cell>
          <cell r="X92">
            <v>53797</v>
          </cell>
          <cell r="Y92">
            <v>2212200.3537949249</v>
          </cell>
        </row>
        <row r="93">
          <cell r="D93">
            <v>3428</v>
          </cell>
          <cell r="E93" t="str">
            <v>Parson Cross Church of England Primary School</v>
          </cell>
          <cell r="F93">
            <v>208</v>
          </cell>
          <cell r="G93">
            <v>591504.00536482816</v>
          </cell>
          <cell r="H93">
            <v>19942.345667996771</v>
          </cell>
          <cell r="I93">
            <v>0</v>
          </cell>
          <cell r="J93">
            <v>42658.138298996673</v>
          </cell>
          <cell r="K93">
            <v>84195.442778848199</v>
          </cell>
          <cell r="L93">
            <v>0</v>
          </cell>
          <cell r="M93">
            <v>738299.93211066991</v>
          </cell>
          <cell r="N93">
            <v>150000</v>
          </cell>
          <cell r="O93">
            <v>0</v>
          </cell>
          <cell r="P93">
            <v>0</v>
          </cell>
          <cell r="Q93">
            <v>0</v>
          </cell>
          <cell r="R93">
            <v>-11509.244963747222</v>
          </cell>
          <cell r="S93">
            <v>-11509.244963747222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3944</v>
          </cell>
          <cell r="Y93">
            <v>880734.68714692269</v>
          </cell>
        </row>
        <row r="94">
          <cell r="D94">
            <v>2016</v>
          </cell>
          <cell r="E94" t="str">
            <v>Pathways E-Act Primary Academy (Longley)</v>
          </cell>
          <cell r="F94">
            <v>445</v>
          </cell>
          <cell r="G94">
            <v>1265477.3191699449</v>
          </cell>
          <cell r="H94">
            <v>114336.11516318162</v>
          </cell>
          <cell r="I94">
            <v>0</v>
          </cell>
          <cell r="J94">
            <v>133563.65892110555</v>
          </cell>
          <cell r="K94">
            <v>179642.44121186587</v>
          </cell>
          <cell r="L94">
            <v>20617.749694300139</v>
          </cell>
          <cell r="M94">
            <v>1713637.2841603982</v>
          </cell>
          <cell r="N94">
            <v>150000</v>
          </cell>
          <cell r="O94">
            <v>2417.2038680774699</v>
          </cell>
          <cell r="P94">
            <v>0</v>
          </cell>
          <cell r="Q94">
            <v>0</v>
          </cell>
          <cell r="R94">
            <v>-5652.1602963415735</v>
          </cell>
          <cell r="S94">
            <v>-5652.1602963415735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6212</v>
          </cell>
          <cell r="Y94">
            <v>1866614.3277321346</v>
          </cell>
        </row>
        <row r="95">
          <cell r="D95">
            <v>2332</v>
          </cell>
          <cell r="E95" t="str">
            <v>Phillimore Community Primary School</v>
          </cell>
          <cell r="F95">
            <v>400</v>
          </cell>
          <cell r="G95">
            <v>1137507.7026246695</v>
          </cell>
          <cell r="H95">
            <v>84422.596661186471</v>
          </cell>
          <cell r="I95">
            <v>0</v>
          </cell>
          <cell r="J95">
            <v>110692.72935116159</v>
          </cell>
          <cell r="K95">
            <v>213717.17687563659</v>
          </cell>
          <cell r="L95">
            <v>57939.02953279193</v>
          </cell>
          <cell r="M95">
            <v>1604279.2350454461</v>
          </cell>
          <cell r="N95">
            <v>150000</v>
          </cell>
          <cell r="O95">
            <v>7393.8000670603533</v>
          </cell>
          <cell r="P95">
            <v>0</v>
          </cell>
          <cell r="Q95">
            <v>0</v>
          </cell>
          <cell r="R95">
            <v>-4350.9550023536376</v>
          </cell>
          <cell r="S95">
            <v>-4350.9550023536376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3812</v>
          </cell>
          <cell r="Y95">
            <v>1761134.0801101527</v>
          </cell>
        </row>
        <row r="96">
          <cell r="D96">
            <v>3433</v>
          </cell>
          <cell r="E96" t="str">
            <v>Pipworth Community Primary School</v>
          </cell>
          <cell r="F96">
            <v>402</v>
          </cell>
          <cell r="G96">
            <v>1143195.2411377928</v>
          </cell>
          <cell r="H96">
            <v>105694.43204038293</v>
          </cell>
          <cell r="I96">
            <v>0</v>
          </cell>
          <cell r="J96">
            <v>113712.20600786776</v>
          </cell>
          <cell r="K96">
            <v>180910.2338430747</v>
          </cell>
          <cell r="L96">
            <v>31392.569768439447</v>
          </cell>
          <cell r="M96">
            <v>1574904.6827975577</v>
          </cell>
          <cell r="N96">
            <v>150000</v>
          </cell>
          <cell r="O96">
            <v>6483.793904960643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37307.288598535677</v>
          </cell>
          <cell r="U96">
            <v>37307.288598535677</v>
          </cell>
          <cell r="V96">
            <v>0</v>
          </cell>
          <cell r="W96">
            <v>0</v>
          </cell>
          <cell r="X96">
            <v>20810</v>
          </cell>
          <cell r="Y96">
            <v>1789505.7653010539</v>
          </cell>
        </row>
        <row r="97">
          <cell r="D97">
            <v>3427</v>
          </cell>
          <cell r="E97" t="str">
            <v>Porter Croft Church of England Primary Academy</v>
          </cell>
          <cell r="F97">
            <v>208</v>
          </cell>
          <cell r="G97">
            <v>591504.00536482816</v>
          </cell>
          <cell r="H97">
            <v>39219.946480393693</v>
          </cell>
          <cell r="I97">
            <v>0</v>
          </cell>
          <cell r="J97">
            <v>40152.615115772474</v>
          </cell>
          <cell r="K97">
            <v>82950.540219512492</v>
          </cell>
          <cell r="L97">
            <v>22062.201467809347</v>
          </cell>
          <cell r="M97">
            <v>775889.30864831619</v>
          </cell>
          <cell r="N97">
            <v>150000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30898.873158831328</v>
          </cell>
          <cell r="U97">
            <v>30898.873158831328</v>
          </cell>
          <cell r="V97">
            <v>0</v>
          </cell>
          <cell r="W97">
            <v>0</v>
          </cell>
          <cell r="X97">
            <v>2443</v>
          </cell>
          <cell r="Y97">
            <v>959231.18180714757</v>
          </cell>
        </row>
        <row r="98">
          <cell r="D98">
            <v>2347</v>
          </cell>
          <cell r="E98" t="str">
            <v>Prince Edward Primary School</v>
          </cell>
          <cell r="F98">
            <v>386</v>
          </cell>
          <cell r="G98">
            <v>1097694.933032806</v>
          </cell>
          <cell r="H98">
            <v>113006.62545198198</v>
          </cell>
          <cell r="I98">
            <v>0</v>
          </cell>
          <cell r="J98">
            <v>110756.97353534684</v>
          </cell>
          <cell r="K98">
            <v>217309.62780616054</v>
          </cell>
          <cell r="L98">
            <v>13683.224685429988</v>
          </cell>
          <cell r="M98">
            <v>1552451.3845117255</v>
          </cell>
          <cell r="N98">
            <v>150000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69891.194408107869</v>
          </cell>
          <cell r="U98">
            <v>69891.194408107869</v>
          </cell>
          <cell r="V98">
            <v>0</v>
          </cell>
          <cell r="W98">
            <v>0</v>
          </cell>
          <cell r="X98">
            <v>47821</v>
          </cell>
          <cell r="Y98">
            <v>1820163.5789198338</v>
          </cell>
        </row>
        <row r="99">
          <cell r="D99">
            <v>2366</v>
          </cell>
          <cell r="E99" t="str">
            <v>Pye Bank CofE Primary School</v>
          </cell>
          <cell r="F99">
            <v>421</v>
          </cell>
          <cell r="G99">
            <v>1197226.8570124647</v>
          </cell>
          <cell r="H99">
            <v>107688.66660718266</v>
          </cell>
          <cell r="I99">
            <v>0</v>
          </cell>
          <cell r="J99">
            <v>122899.1243463564</v>
          </cell>
          <cell r="K99">
            <v>125685.62386524086</v>
          </cell>
          <cell r="L99">
            <v>66554.457312133221</v>
          </cell>
          <cell r="M99">
            <v>1620054.7291433779</v>
          </cell>
          <cell r="N99">
            <v>150000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145401.21955356066</v>
          </cell>
          <cell r="U99">
            <v>145401.21955356066</v>
          </cell>
          <cell r="V99">
            <v>0</v>
          </cell>
          <cell r="W99">
            <v>0</v>
          </cell>
          <cell r="X99">
            <v>9087</v>
          </cell>
          <cell r="Y99">
            <v>1924542.9486969381</v>
          </cell>
        </row>
        <row r="100">
          <cell r="D100">
            <v>2363</v>
          </cell>
          <cell r="E100" t="str">
            <v>Rainbow Forge Primary Academy</v>
          </cell>
          <cell r="F100">
            <v>309</v>
          </cell>
          <cell r="G100">
            <v>878724.70027755725</v>
          </cell>
          <cell r="H100">
            <v>48526.374458792307</v>
          </cell>
          <cell r="I100">
            <v>0</v>
          </cell>
          <cell r="J100">
            <v>27303.778278725324</v>
          </cell>
          <cell r="K100">
            <v>151099.28570334954</v>
          </cell>
          <cell r="L100">
            <v>3577.8745110525119</v>
          </cell>
          <cell r="M100">
            <v>1109232.013229477</v>
          </cell>
          <cell r="N100">
            <v>150000</v>
          </cell>
          <cell r="O100">
            <v>2872.2069491273055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3306</v>
          </cell>
          <cell r="Y100">
            <v>1265410.2201786044</v>
          </cell>
        </row>
        <row r="101">
          <cell r="D101">
            <v>2334</v>
          </cell>
          <cell r="E101" t="str">
            <v>Reignhead Primary School</v>
          </cell>
          <cell r="F101">
            <v>268</v>
          </cell>
          <cell r="G101">
            <v>762130.16075852863</v>
          </cell>
          <cell r="H101">
            <v>41214.18104719348</v>
          </cell>
          <cell r="I101">
            <v>0</v>
          </cell>
          <cell r="J101">
            <v>14519.185625863331</v>
          </cell>
          <cell r="K101">
            <v>105823.8013301238</v>
          </cell>
          <cell r="L101">
            <v>2404.4800977966011</v>
          </cell>
          <cell r="M101">
            <v>926091.80885950592</v>
          </cell>
          <cell r="N101">
            <v>150000</v>
          </cell>
          <cell r="O101">
            <v>0</v>
          </cell>
          <cell r="P101">
            <v>0</v>
          </cell>
          <cell r="Q101">
            <v>0</v>
          </cell>
          <cell r="R101">
            <v>-3513.3189363480519</v>
          </cell>
          <cell r="S101">
            <v>-3513.3189363480519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30073</v>
          </cell>
          <cell r="Y101">
            <v>1102651.489923158</v>
          </cell>
        </row>
        <row r="102">
          <cell r="D102">
            <v>2338</v>
          </cell>
          <cell r="E102" t="str">
            <v>Rivelin Primary School</v>
          </cell>
          <cell r="F102">
            <v>350</v>
          </cell>
          <cell r="G102">
            <v>995319.23979658587</v>
          </cell>
          <cell r="H102">
            <v>25925.049368395747</v>
          </cell>
          <cell r="I102">
            <v>0</v>
          </cell>
          <cell r="J102">
            <v>15033.139099345222</v>
          </cell>
          <cell r="K102">
            <v>91363.222239773706</v>
          </cell>
          <cell r="L102">
            <v>7723.4181762775424</v>
          </cell>
          <cell r="M102">
            <v>1135364.0686803779</v>
          </cell>
          <cell r="N102">
            <v>150000</v>
          </cell>
          <cell r="O102">
            <v>0</v>
          </cell>
          <cell r="P102">
            <v>0</v>
          </cell>
          <cell r="Q102">
            <v>0</v>
          </cell>
          <cell r="R102">
            <v>-14038.069563790144</v>
          </cell>
          <cell r="S102">
            <v>-14038.069563790144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21134</v>
          </cell>
          <cell r="Y102">
            <v>1292459.9991165877</v>
          </cell>
        </row>
        <row r="103">
          <cell r="D103">
            <v>2306</v>
          </cell>
          <cell r="E103" t="str">
            <v>Royd Nursery and Infant School</v>
          </cell>
          <cell r="F103">
            <v>144</v>
          </cell>
          <cell r="G103">
            <v>409502.77294488106</v>
          </cell>
          <cell r="H103">
            <v>15289.131678797528</v>
          </cell>
          <cell r="I103">
            <v>0</v>
          </cell>
          <cell r="J103">
            <v>1284.8836837047195</v>
          </cell>
          <cell r="K103">
            <v>35229.180539144676</v>
          </cell>
          <cell r="L103">
            <v>564.30413000270141</v>
          </cell>
          <cell r="M103">
            <v>461870.27297653066</v>
          </cell>
          <cell r="N103">
            <v>150000</v>
          </cell>
          <cell r="O103">
            <v>0</v>
          </cell>
          <cell r="P103">
            <v>0</v>
          </cell>
          <cell r="Q103">
            <v>0</v>
          </cell>
          <cell r="R103">
            <v>-4678.9689123916542</v>
          </cell>
          <cell r="S103">
            <v>-4678.9689123916542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12481</v>
          </cell>
          <cell r="Y103">
            <v>619672.30406413903</v>
          </cell>
        </row>
        <row r="104">
          <cell r="D104">
            <v>3401</v>
          </cell>
          <cell r="E104" t="str">
            <v>Sacred Heart School, A Catholic Voluntary Academy</v>
          </cell>
          <cell r="F104">
            <v>208</v>
          </cell>
          <cell r="G104">
            <v>591504.00536482816</v>
          </cell>
          <cell r="H104">
            <v>9971.1728339984002</v>
          </cell>
          <cell r="I104">
            <v>0</v>
          </cell>
          <cell r="J104">
            <v>14904.650730974743</v>
          </cell>
          <cell r="K104">
            <v>91214.280101267213</v>
          </cell>
          <cell r="L104">
            <v>11553.44017475572</v>
          </cell>
          <cell r="M104">
            <v>719147.54920582438</v>
          </cell>
          <cell r="N104">
            <v>150000</v>
          </cell>
          <cell r="O104">
            <v>0</v>
          </cell>
          <cell r="P104">
            <v>0</v>
          </cell>
          <cell r="Q104">
            <v>0</v>
          </cell>
          <cell r="R104">
            <v>-51225.684892993391</v>
          </cell>
          <cell r="S104">
            <v>-51225.684892993391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3525</v>
          </cell>
          <cell r="Y104">
            <v>821446.86431283096</v>
          </cell>
        </row>
        <row r="105">
          <cell r="D105">
            <v>2369</v>
          </cell>
          <cell r="E105" t="str">
            <v>Sharrow Nursery, Infant and Junior School</v>
          </cell>
          <cell r="F105">
            <v>403</v>
          </cell>
          <cell r="G105">
            <v>1146039.0103943546</v>
          </cell>
          <cell r="H105">
            <v>64480.250993189708</v>
          </cell>
          <cell r="I105">
            <v>0</v>
          </cell>
          <cell r="J105">
            <v>68420.056157276296</v>
          </cell>
          <cell r="K105">
            <v>180957.33574071442</v>
          </cell>
          <cell r="L105">
            <v>64304.663344355235</v>
          </cell>
          <cell r="M105">
            <v>1524201.3166298901</v>
          </cell>
          <cell r="N105">
            <v>150000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49085.952243396518</v>
          </cell>
          <cell r="U105">
            <v>49085.952243396518</v>
          </cell>
          <cell r="V105">
            <v>0</v>
          </cell>
          <cell r="W105">
            <v>0</v>
          </cell>
          <cell r="X105">
            <v>51685</v>
          </cell>
          <cell r="Y105">
            <v>1774972.2688732867</v>
          </cell>
        </row>
        <row r="106">
          <cell r="D106">
            <v>2349</v>
          </cell>
          <cell r="E106" t="str">
            <v>Shooter's Grove Primary School</v>
          </cell>
          <cell r="F106">
            <v>374</v>
          </cell>
          <cell r="G106">
            <v>1063569.7019540661</v>
          </cell>
          <cell r="H106">
            <v>47196.884747592347</v>
          </cell>
          <cell r="I106">
            <v>0</v>
          </cell>
          <cell r="J106">
            <v>24862.499279686301</v>
          </cell>
          <cell r="K106">
            <v>98475.558437620217</v>
          </cell>
          <cell r="L106">
            <v>13816.788621667045</v>
          </cell>
          <cell r="M106">
            <v>1247921.4330406319</v>
          </cell>
          <cell r="N106">
            <v>150000</v>
          </cell>
          <cell r="O106">
            <v>2161.2646349868432</v>
          </cell>
          <cell r="P106">
            <v>0</v>
          </cell>
          <cell r="Q106">
            <v>0</v>
          </cell>
          <cell r="R106">
            <v>-23141.961619639449</v>
          </cell>
          <cell r="S106">
            <v>-23141.961619639449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22968</v>
          </cell>
          <cell r="Y106">
            <v>1399908.7360559797</v>
          </cell>
        </row>
        <row r="107">
          <cell r="D107">
            <v>2360</v>
          </cell>
          <cell r="E107" t="str">
            <v>Shortbrook Primary School</v>
          </cell>
          <cell r="F107">
            <v>101</v>
          </cell>
          <cell r="G107">
            <v>287220.69491272909</v>
          </cell>
          <cell r="H107">
            <v>33901.987635594567</v>
          </cell>
          <cell r="I107">
            <v>0</v>
          </cell>
          <cell r="J107">
            <v>18502.325045347967</v>
          </cell>
          <cell r="K107">
            <v>52037.83321603376</v>
          </cell>
          <cell r="L107">
            <v>1307.6319594761987</v>
          </cell>
          <cell r="M107">
            <v>392970.47276918159</v>
          </cell>
          <cell r="N107">
            <v>150000</v>
          </cell>
          <cell r="O107">
            <v>1109.0700100590636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96111.430842838628</v>
          </cell>
          <cell r="U107">
            <v>96111.430842838628</v>
          </cell>
          <cell r="V107">
            <v>0</v>
          </cell>
          <cell r="W107">
            <v>0</v>
          </cell>
          <cell r="X107">
            <v>10317</v>
          </cell>
          <cell r="Y107">
            <v>650507.97362207924</v>
          </cell>
        </row>
        <row r="108">
          <cell r="D108">
            <v>2009</v>
          </cell>
          <cell r="E108" t="str">
            <v>Southey Green Primary School and Nurseries</v>
          </cell>
          <cell r="F108">
            <v>612</v>
          </cell>
          <cell r="G108">
            <v>1740386.7850157444</v>
          </cell>
          <cell r="H108">
            <v>172168.91760037246</v>
          </cell>
          <cell r="I108">
            <v>0</v>
          </cell>
          <cell r="J108">
            <v>192025.86652967046</v>
          </cell>
          <cell r="K108">
            <v>297239.19685489504</v>
          </cell>
          <cell r="L108">
            <v>10792.316486301686</v>
          </cell>
          <cell r="M108">
            <v>2412613.0824869843</v>
          </cell>
          <cell r="N108">
            <v>150000</v>
          </cell>
          <cell r="O108">
            <v>511.87846618105851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31664.71</v>
          </cell>
          <cell r="X108">
            <v>15442</v>
          </cell>
          <cell r="Y108">
            <v>2610231.6709531657</v>
          </cell>
        </row>
        <row r="109">
          <cell r="D109">
            <v>2329</v>
          </cell>
          <cell r="E109" t="str">
            <v>Springfield Primary School</v>
          </cell>
          <cell r="F109">
            <v>222</v>
          </cell>
          <cell r="G109">
            <v>631316.77495669166</v>
          </cell>
          <cell r="H109">
            <v>33901.987635594611</v>
          </cell>
          <cell r="I109">
            <v>0</v>
          </cell>
          <cell r="J109">
            <v>39767.150010661069</v>
          </cell>
          <cell r="K109">
            <v>84819.490490732191</v>
          </cell>
          <cell r="L109">
            <v>51246.603576872993</v>
          </cell>
          <cell r="M109">
            <v>841052.00667055254</v>
          </cell>
          <cell r="N109">
            <v>150000</v>
          </cell>
          <cell r="O109">
            <v>1365.0092431496273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25779.555588702078</v>
          </cell>
          <cell r="U109">
            <v>25779.555588702078</v>
          </cell>
          <cell r="V109">
            <v>0</v>
          </cell>
          <cell r="W109">
            <v>0</v>
          </cell>
          <cell r="X109">
            <v>11981</v>
          </cell>
          <cell r="Y109">
            <v>1030177.5715024039</v>
          </cell>
        </row>
        <row r="110">
          <cell r="D110">
            <v>5202</v>
          </cell>
          <cell r="E110" t="str">
            <v>St Ann's Catholic Primary School, A Voluntary Academy</v>
          </cell>
          <cell r="F110">
            <v>94</v>
          </cell>
          <cell r="G110">
            <v>267314.31011679734</v>
          </cell>
          <cell r="H110">
            <v>5982.703700399039</v>
          </cell>
          <cell r="I110">
            <v>0</v>
          </cell>
          <cell r="J110">
            <v>4111.6277878551009</v>
          </cell>
          <cell r="K110">
            <v>32025.79358335683</v>
          </cell>
          <cell r="L110">
            <v>390.82648841142401</v>
          </cell>
          <cell r="M110">
            <v>309825.2616768197</v>
          </cell>
          <cell r="N110">
            <v>150000</v>
          </cell>
          <cell r="O110">
            <v>170.62615539369367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4105.7646330482767</v>
          </cell>
          <cell r="U110">
            <v>4105.7646330482767</v>
          </cell>
          <cell r="V110">
            <v>0</v>
          </cell>
          <cell r="W110">
            <v>0</v>
          </cell>
          <cell r="X110">
            <v>1966</v>
          </cell>
          <cell r="Y110">
            <v>466067.65246526175</v>
          </cell>
        </row>
        <row r="111">
          <cell r="D111">
            <v>3402</v>
          </cell>
          <cell r="E111" t="str">
            <v>St Catherine's Catholic Voluntary Academy (Hallam)</v>
          </cell>
          <cell r="F111">
            <v>421</v>
          </cell>
          <cell r="G111">
            <v>1197226.8570124647</v>
          </cell>
          <cell r="H111">
            <v>50520.609025591883</v>
          </cell>
          <cell r="I111">
            <v>0</v>
          </cell>
          <cell r="J111">
            <v>94793.215930638908</v>
          </cell>
          <cell r="K111">
            <v>229616.30141923553</v>
          </cell>
          <cell r="L111">
            <v>44133.448330767045</v>
          </cell>
          <cell r="M111">
            <v>1616290.431718698</v>
          </cell>
          <cell r="N111">
            <v>150000</v>
          </cell>
          <cell r="O111">
            <v>0</v>
          </cell>
          <cell r="P111">
            <v>0</v>
          </cell>
          <cell r="Q111">
            <v>0</v>
          </cell>
          <cell r="R111">
            <v>-18230.961239016899</v>
          </cell>
          <cell r="S111">
            <v>-18230.961239016899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7389</v>
          </cell>
          <cell r="Y111">
            <v>1755448.4704796807</v>
          </cell>
        </row>
        <row r="112">
          <cell r="D112">
            <v>2017</v>
          </cell>
          <cell r="E112" t="str">
            <v>St John Fisher Primary, A Catholic Voluntary Academy</v>
          </cell>
          <cell r="F112">
            <v>212</v>
          </cell>
          <cell r="G112">
            <v>602879.08239107486</v>
          </cell>
          <cell r="H112">
            <v>11965.407400798085</v>
          </cell>
          <cell r="I112">
            <v>0</v>
          </cell>
          <cell r="J112">
            <v>17538.662282569418</v>
          </cell>
          <cell r="K112">
            <v>86771.164987424389</v>
          </cell>
          <cell r="L112">
            <v>6354.1058447923324</v>
          </cell>
          <cell r="M112">
            <v>725508.42290665908</v>
          </cell>
          <cell r="N112">
            <v>150000</v>
          </cell>
          <cell r="O112">
            <v>0</v>
          </cell>
          <cell r="P112">
            <v>0</v>
          </cell>
          <cell r="Q112">
            <v>0</v>
          </cell>
          <cell r="R112">
            <v>-53461.168851081915</v>
          </cell>
          <cell r="S112">
            <v>-53461.168851081915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3131</v>
          </cell>
          <cell r="Y112">
            <v>825178.25405557698</v>
          </cell>
        </row>
        <row r="113">
          <cell r="D113">
            <v>5203</v>
          </cell>
          <cell r="E113" t="str">
            <v>St Joseph's Primary School</v>
          </cell>
          <cell r="F113">
            <v>201</v>
          </cell>
          <cell r="G113">
            <v>571597.62056889641</v>
          </cell>
          <cell r="H113">
            <v>10635.917689598291</v>
          </cell>
          <cell r="I113">
            <v>0</v>
          </cell>
          <cell r="J113">
            <v>17538.662282569414</v>
          </cell>
          <cell r="K113">
            <v>85639.803678849436</v>
          </cell>
          <cell r="L113">
            <v>0</v>
          </cell>
          <cell r="M113">
            <v>685412.00421991362</v>
          </cell>
          <cell r="N113">
            <v>150000</v>
          </cell>
          <cell r="O113">
            <v>0</v>
          </cell>
          <cell r="P113">
            <v>0</v>
          </cell>
          <cell r="Q113">
            <v>0</v>
          </cell>
          <cell r="R113">
            <v>-62704.477748793026</v>
          </cell>
          <cell r="S113">
            <v>-62704.477748793026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2933</v>
          </cell>
          <cell r="Y113">
            <v>775640.52647112054</v>
          </cell>
        </row>
        <row r="114">
          <cell r="D114">
            <v>3406</v>
          </cell>
          <cell r="E114" t="str">
            <v>St Marie's School, A Catholic Voluntary Academy</v>
          </cell>
          <cell r="F114">
            <v>291</v>
          </cell>
          <cell r="G114">
            <v>827536.85365944717</v>
          </cell>
          <cell r="H114">
            <v>9971.1728339984002</v>
          </cell>
          <cell r="I114">
            <v>0</v>
          </cell>
          <cell r="J114">
            <v>11885.174074268656</v>
          </cell>
          <cell r="K114">
            <v>85037.3878400658</v>
          </cell>
          <cell r="L114">
            <v>11403.645960471258</v>
          </cell>
          <cell r="M114">
            <v>945834.23436825129</v>
          </cell>
          <cell r="N114">
            <v>150000</v>
          </cell>
          <cell r="O114">
            <v>0</v>
          </cell>
          <cell r="P114">
            <v>0</v>
          </cell>
          <cell r="Q114">
            <v>0</v>
          </cell>
          <cell r="R114">
            <v>-12442.813655606416</v>
          </cell>
          <cell r="S114">
            <v>-12442.813655606416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4310</v>
          </cell>
          <cell r="Y114">
            <v>1087701.4207126447</v>
          </cell>
        </row>
        <row r="115">
          <cell r="D115">
            <v>2020</v>
          </cell>
          <cell r="E115" t="str">
            <v>St Mary's Church of England Primary School</v>
          </cell>
          <cell r="F115">
            <v>162</v>
          </cell>
          <cell r="G115">
            <v>460690.6195629912</v>
          </cell>
          <cell r="H115">
            <v>16618.621389997341</v>
          </cell>
          <cell r="I115">
            <v>0</v>
          </cell>
          <cell r="J115">
            <v>20233.326728550135</v>
          </cell>
          <cell r="K115">
            <v>54779.132981017152</v>
          </cell>
          <cell r="L115">
            <v>17056.714723592726</v>
          </cell>
          <cell r="M115">
            <v>569378.41538614861</v>
          </cell>
          <cell r="N115">
            <v>150000</v>
          </cell>
          <cell r="O115">
            <v>6483.7939049606293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2366</v>
          </cell>
          <cell r="Y115">
            <v>728228.20929110923</v>
          </cell>
        </row>
        <row r="116">
          <cell r="D116">
            <v>3423</v>
          </cell>
          <cell r="E116" t="str">
            <v>St Mary's Primary School, A Catholic Voluntary Academy</v>
          </cell>
          <cell r="F116">
            <v>205</v>
          </cell>
          <cell r="G116">
            <v>582972.69759514311</v>
          </cell>
          <cell r="H116">
            <v>8641.6831227986222</v>
          </cell>
          <cell r="I116">
            <v>0</v>
          </cell>
          <cell r="J116">
            <v>9572.3834436001634</v>
          </cell>
          <cell r="K116">
            <v>67438.26936411552</v>
          </cell>
          <cell r="L116">
            <v>1963.2420721360375</v>
          </cell>
          <cell r="M116">
            <v>670588.2755977934</v>
          </cell>
          <cell r="N116">
            <v>150000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3402</v>
          </cell>
          <cell r="Y116">
            <v>823990.2755977934</v>
          </cell>
        </row>
        <row r="117">
          <cell r="D117">
            <v>5207</v>
          </cell>
          <cell r="E117" t="str">
            <v>St Patrick's Catholic Voluntary Academy</v>
          </cell>
          <cell r="F117">
            <v>279</v>
          </cell>
          <cell r="G117">
            <v>793411.62258070707</v>
          </cell>
          <cell r="H117">
            <v>23930.814801596138</v>
          </cell>
          <cell r="I117">
            <v>0</v>
          </cell>
          <cell r="J117">
            <v>68998.253814943397</v>
          </cell>
          <cell r="K117">
            <v>97466.159604544853</v>
          </cell>
          <cell r="L117">
            <v>18040.097656023881</v>
          </cell>
          <cell r="M117">
            <v>1001846.9484578153</v>
          </cell>
          <cell r="N117">
            <v>150000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4067</v>
          </cell>
          <cell r="Y117">
            <v>1155913.9484578152</v>
          </cell>
        </row>
        <row r="118">
          <cell r="D118">
            <v>5208</v>
          </cell>
          <cell r="E118" t="str">
            <v>St Theresa's Catholic Primary School</v>
          </cell>
          <cell r="F118">
            <v>209</v>
          </cell>
          <cell r="G118">
            <v>594347.77462138981</v>
          </cell>
          <cell r="H118">
            <v>31907.7530687949</v>
          </cell>
          <cell r="I118">
            <v>0</v>
          </cell>
          <cell r="J118">
            <v>53708.137978857289</v>
          </cell>
          <cell r="K118">
            <v>82692.898992665927</v>
          </cell>
          <cell r="L118">
            <v>12271.720751196483</v>
          </cell>
          <cell r="M118">
            <v>774928.28541290434</v>
          </cell>
          <cell r="N118">
            <v>150000</v>
          </cell>
          <cell r="O118">
            <v>0</v>
          </cell>
          <cell r="P118">
            <v>0</v>
          </cell>
          <cell r="Q118">
            <v>0</v>
          </cell>
          <cell r="R118">
            <v>-1629.1786116925387</v>
          </cell>
          <cell r="S118">
            <v>-1629.1786116925387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2997</v>
          </cell>
          <cell r="Y118">
            <v>926296.10680121183</v>
          </cell>
        </row>
        <row r="119">
          <cell r="D119">
            <v>3424</v>
          </cell>
          <cell r="E119" t="str">
            <v>St Thomas More Catholic Primary, A Voluntary Academy</v>
          </cell>
          <cell r="F119">
            <v>205</v>
          </cell>
          <cell r="G119">
            <v>582972.69759514311</v>
          </cell>
          <cell r="H119">
            <v>15289.131678797617</v>
          </cell>
          <cell r="I119">
            <v>0</v>
          </cell>
          <cell r="J119">
            <v>36683.429169769704</v>
          </cell>
          <cell r="K119">
            <v>54477.150963786073</v>
          </cell>
          <cell r="L119">
            <v>3993.7953010310271</v>
          </cell>
          <cell r="M119">
            <v>693416.20470852754</v>
          </cell>
          <cell r="N119">
            <v>150000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2712</v>
          </cell>
          <cell r="Y119">
            <v>846128.20470852754</v>
          </cell>
        </row>
        <row r="120">
          <cell r="D120">
            <v>3414</v>
          </cell>
          <cell r="E120" t="str">
            <v>St Thomas of Canterbury School, a Catholic Voluntary Academy</v>
          </cell>
          <cell r="F120">
            <v>213</v>
          </cell>
          <cell r="G120">
            <v>605722.8516476365</v>
          </cell>
          <cell r="H120">
            <v>5982.7037003990463</v>
          </cell>
          <cell r="I120">
            <v>0</v>
          </cell>
          <cell r="J120">
            <v>13041.569389602901</v>
          </cell>
          <cell r="K120">
            <v>45111.971332394176</v>
          </cell>
          <cell r="L120">
            <v>5187.0634092659093</v>
          </cell>
          <cell r="M120">
            <v>675046.15947929851</v>
          </cell>
          <cell r="N120">
            <v>150000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3451</v>
          </cell>
          <cell r="Y120">
            <v>828497.15947929851</v>
          </cell>
        </row>
        <row r="121">
          <cell r="D121">
            <v>3412</v>
          </cell>
          <cell r="E121" t="str">
            <v>St Wilfrid's Catholic Primary School</v>
          </cell>
          <cell r="F121">
            <v>307</v>
          </cell>
          <cell r="G121">
            <v>873037.16176443396</v>
          </cell>
          <cell r="H121">
            <v>3323.7242779994749</v>
          </cell>
          <cell r="I121">
            <v>0</v>
          </cell>
          <cell r="J121">
            <v>5332.2672873745869</v>
          </cell>
          <cell r="K121">
            <v>42235.80630259664</v>
          </cell>
          <cell r="L121">
            <v>5592.8749500474587</v>
          </cell>
          <cell r="M121">
            <v>929521.83458245208</v>
          </cell>
          <cell r="N121">
            <v>150000</v>
          </cell>
          <cell r="O121">
            <v>0</v>
          </cell>
          <cell r="P121">
            <v>0</v>
          </cell>
          <cell r="Q121">
            <v>0</v>
          </cell>
          <cell r="R121">
            <v>-12150.628036640775</v>
          </cell>
          <cell r="S121">
            <v>-12150.628036640775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4687</v>
          </cell>
          <cell r="Y121">
            <v>1072058.2065458114</v>
          </cell>
        </row>
        <row r="122">
          <cell r="D122">
            <v>2294</v>
          </cell>
          <cell r="E122" t="str">
            <v>Stannington Infant School</v>
          </cell>
          <cell r="F122">
            <v>177</v>
          </cell>
          <cell r="G122">
            <v>503347.15841141628</v>
          </cell>
          <cell r="H122">
            <v>4653.2139891992601</v>
          </cell>
          <cell r="I122">
            <v>0</v>
          </cell>
          <cell r="J122">
            <v>2826.7441041503839</v>
          </cell>
          <cell r="K122">
            <v>41734.684028790616</v>
          </cell>
          <cell r="L122">
            <v>515.77156326635895</v>
          </cell>
          <cell r="M122">
            <v>553077.5720968229</v>
          </cell>
          <cell r="N122">
            <v>150000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8963</v>
          </cell>
          <cell r="Y122">
            <v>712040.5720968229</v>
          </cell>
        </row>
        <row r="123">
          <cell r="D123">
            <v>2303</v>
          </cell>
          <cell r="E123" t="str">
            <v>Stocksbridge Junior School</v>
          </cell>
          <cell r="F123">
            <v>384</v>
          </cell>
          <cell r="G123">
            <v>1092007.3945196827</v>
          </cell>
          <cell r="H123">
            <v>37225.71191359395</v>
          </cell>
          <cell r="I123">
            <v>0</v>
          </cell>
          <cell r="J123">
            <v>17281.685545828463</v>
          </cell>
          <cell r="K123">
            <v>169422.18166544047</v>
          </cell>
          <cell r="L123">
            <v>340.93374520996645</v>
          </cell>
          <cell r="M123">
            <v>1316277.9073897558</v>
          </cell>
          <cell r="N123">
            <v>150000</v>
          </cell>
          <cell r="O123">
            <v>0</v>
          </cell>
          <cell r="P123">
            <v>0</v>
          </cell>
          <cell r="Q123">
            <v>0</v>
          </cell>
          <cell r="R123">
            <v>-66092.052599886316</v>
          </cell>
          <cell r="S123">
            <v>-66092.052599886316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15642</v>
          </cell>
          <cell r="Y123">
            <v>1415827.8547898694</v>
          </cell>
        </row>
        <row r="124">
          <cell r="D124">
            <v>2302</v>
          </cell>
          <cell r="E124" t="str">
            <v>Stocksbridge Nursery Infant School</v>
          </cell>
          <cell r="F124">
            <v>214</v>
          </cell>
          <cell r="G124">
            <v>608566.62090419827</v>
          </cell>
          <cell r="H124">
            <v>21271.835379196615</v>
          </cell>
          <cell r="I124">
            <v>0</v>
          </cell>
          <cell r="J124">
            <v>9893.6043645263362</v>
          </cell>
          <cell r="K124">
            <v>82662.81037378918</v>
          </cell>
          <cell r="L124">
            <v>2849.9930263645597</v>
          </cell>
          <cell r="M124">
            <v>725244.86404807493</v>
          </cell>
          <cell r="N124">
            <v>150000</v>
          </cell>
          <cell r="O124">
            <v>0</v>
          </cell>
          <cell r="P124">
            <v>0</v>
          </cell>
          <cell r="Q124">
            <v>0</v>
          </cell>
          <cell r="R124">
            <v>-33881.532799189539</v>
          </cell>
          <cell r="S124">
            <v>-33881.532799189539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15720</v>
          </cell>
          <cell r="Y124">
            <v>857083.3312488856</v>
          </cell>
        </row>
        <row r="125">
          <cell r="D125">
            <v>2350</v>
          </cell>
          <cell r="E125" t="str">
            <v>Stradbroke Primary School</v>
          </cell>
          <cell r="F125">
            <v>416</v>
          </cell>
          <cell r="G125">
            <v>1183008.0107296563</v>
          </cell>
          <cell r="H125">
            <v>84422.596661186617</v>
          </cell>
          <cell r="I125">
            <v>0</v>
          </cell>
          <cell r="J125">
            <v>72531.683945131401</v>
          </cell>
          <cell r="K125">
            <v>207158.60908104116</v>
          </cell>
          <cell r="L125">
            <v>6356.456605371236</v>
          </cell>
          <cell r="M125">
            <v>1553477.3570223867</v>
          </cell>
          <cell r="N125">
            <v>150000</v>
          </cell>
          <cell r="O125">
            <v>0</v>
          </cell>
          <cell r="P125">
            <v>0</v>
          </cell>
          <cell r="Q125">
            <v>0</v>
          </cell>
          <cell r="R125">
            <v>-14484.25141908255</v>
          </cell>
          <cell r="S125">
            <v>-14484.25141908255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23853</v>
          </cell>
          <cell r="Y125">
            <v>1712846.1056033038</v>
          </cell>
        </row>
        <row r="126">
          <cell r="D126">
            <v>2230</v>
          </cell>
          <cell r="E126" t="str">
            <v>Tinsley Meadows Primary School</v>
          </cell>
          <cell r="F126">
            <v>537</v>
          </cell>
          <cell r="G126">
            <v>1527104.090773619</v>
          </cell>
          <cell r="H126">
            <v>83093.106949986599</v>
          </cell>
          <cell r="I126">
            <v>0</v>
          </cell>
          <cell r="J126">
            <v>123734.2987407645</v>
          </cell>
          <cell r="K126">
            <v>227680.83447028507</v>
          </cell>
          <cell r="L126">
            <v>93687.720858550994</v>
          </cell>
          <cell r="M126">
            <v>2055300.0517932065</v>
          </cell>
          <cell r="N126">
            <v>150000</v>
          </cell>
          <cell r="O126">
            <v>6341.6054421324725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2714</v>
          </cell>
          <cell r="Y126">
            <v>2214355.6572353393</v>
          </cell>
        </row>
        <row r="127">
          <cell r="D127">
            <v>5206</v>
          </cell>
          <cell r="E127" t="str">
            <v>Totley All Saints Church of England Voluntary Aided Primary School</v>
          </cell>
          <cell r="F127">
            <v>210</v>
          </cell>
          <cell r="G127">
            <v>597191.54387795157</v>
          </cell>
          <cell r="H127">
            <v>7976.9382671987169</v>
          </cell>
          <cell r="I127">
            <v>0</v>
          </cell>
          <cell r="J127">
            <v>2120.0580781127878</v>
          </cell>
          <cell r="K127">
            <v>38124.87550422558</v>
          </cell>
          <cell r="L127">
            <v>1977.7924445882009</v>
          </cell>
          <cell r="M127">
            <v>647391.20817207685</v>
          </cell>
          <cell r="N127">
            <v>150000</v>
          </cell>
          <cell r="O127">
            <v>0</v>
          </cell>
          <cell r="P127">
            <v>0</v>
          </cell>
          <cell r="Q127">
            <v>0</v>
          </cell>
          <cell r="R127">
            <v>-12778.70585771438</v>
          </cell>
          <cell r="S127">
            <v>-12778.70585771438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3155</v>
          </cell>
          <cell r="Y127">
            <v>787767.50231436244</v>
          </cell>
        </row>
        <row r="128">
          <cell r="D128">
            <v>2203</v>
          </cell>
          <cell r="E128" t="str">
            <v>Totley Primary School</v>
          </cell>
          <cell r="F128">
            <v>278</v>
          </cell>
          <cell r="G128">
            <v>790567.85332414531</v>
          </cell>
          <cell r="H128">
            <v>13959.641967597758</v>
          </cell>
          <cell r="I128">
            <v>0</v>
          </cell>
          <cell r="J128">
            <v>1349.1278678899534</v>
          </cell>
          <cell r="K128">
            <v>68748.657391382483</v>
          </cell>
          <cell r="L128">
            <v>5651.993372425768</v>
          </cell>
          <cell r="M128">
            <v>880277.2739234413</v>
          </cell>
          <cell r="N128">
            <v>150000</v>
          </cell>
          <cell r="O128">
            <v>0</v>
          </cell>
          <cell r="P128">
            <v>0</v>
          </cell>
          <cell r="Q128">
            <v>0</v>
          </cell>
          <cell r="R128">
            <v>-14403.935590179632</v>
          </cell>
          <cell r="S128">
            <v>-14403.935590179632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2717</v>
          </cell>
          <cell r="Y128">
            <v>1018590.3383332617</v>
          </cell>
        </row>
        <row r="129">
          <cell r="D129">
            <v>2034</v>
          </cell>
          <cell r="E129" t="str">
            <v>Valley Park Community School</v>
          </cell>
          <cell r="F129">
            <v>385</v>
          </cell>
          <cell r="G129">
            <v>1094851.1637762445</v>
          </cell>
          <cell r="H129">
            <v>130954.7365531791</v>
          </cell>
          <cell r="I129">
            <v>0</v>
          </cell>
          <cell r="J129">
            <v>114161.91529716417</v>
          </cell>
          <cell r="K129">
            <v>222162.57170289065</v>
          </cell>
          <cell r="L129">
            <v>12968.752194289271</v>
          </cell>
          <cell r="M129">
            <v>1575099.1395237676</v>
          </cell>
          <cell r="N129">
            <v>150000</v>
          </cell>
          <cell r="O129">
            <v>3284.5534913287333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10233</v>
          </cell>
          <cell r="Y129">
            <v>1738616.6930150965</v>
          </cell>
        </row>
        <row r="130">
          <cell r="D130">
            <v>2351</v>
          </cell>
          <cell r="E130" t="str">
            <v>Walkley Primary School</v>
          </cell>
          <cell r="F130">
            <v>288</v>
          </cell>
          <cell r="G130">
            <v>819005.54588976211</v>
          </cell>
          <cell r="H130">
            <v>40549.436191593588</v>
          </cell>
          <cell r="I130">
            <v>0</v>
          </cell>
          <cell r="J130">
            <v>35848.25477536166</v>
          </cell>
          <cell r="K130">
            <v>104661.46844572366</v>
          </cell>
          <cell r="L130">
            <v>24244.177437153176</v>
          </cell>
          <cell r="M130">
            <v>1024308.8827395942</v>
          </cell>
          <cell r="N130">
            <v>150000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69894.994253809389</v>
          </cell>
          <cell r="U130">
            <v>69894.994253809389</v>
          </cell>
          <cell r="V130">
            <v>0</v>
          </cell>
          <cell r="W130">
            <v>0</v>
          </cell>
          <cell r="X130">
            <v>21079</v>
          </cell>
          <cell r="Y130">
            <v>1265282.876993404</v>
          </cell>
        </row>
        <row r="131">
          <cell r="D131">
            <v>3432</v>
          </cell>
          <cell r="E131" t="str">
            <v>Watercliffe Meadow Community Primary School</v>
          </cell>
          <cell r="F131">
            <v>419</v>
          </cell>
          <cell r="G131">
            <v>1191539.3184993414</v>
          </cell>
          <cell r="H131">
            <v>95058.514350784739</v>
          </cell>
          <cell r="I131">
            <v>0</v>
          </cell>
          <cell r="J131">
            <v>112684.29906090396</v>
          </cell>
          <cell r="K131">
            <v>169140.12887768145</v>
          </cell>
          <cell r="L131">
            <v>10773.696814414368</v>
          </cell>
          <cell r="M131">
            <v>1579195.9576031258</v>
          </cell>
          <cell r="N131">
            <v>150000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45034</v>
          </cell>
          <cell r="Y131">
            <v>1774229.9576031258</v>
          </cell>
        </row>
        <row r="132">
          <cell r="D132">
            <v>2319</v>
          </cell>
          <cell r="E132" t="str">
            <v>Waterthorpe Infant School</v>
          </cell>
          <cell r="F132">
            <v>152</v>
          </cell>
          <cell r="G132">
            <v>432252.92699737445</v>
          </cell>
          <cell r="H132">
            <v>21271.835379196626</v>
          </cell>
          <cell r="I132">
            <v>0</v>
          </cell>
          <cell r="J132">
            <v>14776.162362604275</v>
          </cell>
          <cell r="K132">
            <v>50419.340216058052</v>
          </cell>
          <cell r="L132">
            <v>3668.8091519939676</v>
          </cell>
          <cell r="M132">
            <v>522389.07410722738</v>
          </cell>
          <cell r="N132">
            <v>150000</v>
          </cell>
          <cell r="O132">
            <v>0</v>
          </cell>
          <cell r="P132">
            <v>0</v>
          </cell>
          <cell r="Q132">
            <v>0</v>
          </cell>
          <cell r="R132">
            <v>-8364.6187147887176</v>
          </cell>
          <cell r="S132">
            <v>-8364.6187147887176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16320</v>
          </cell>
          <cell r="Y132">
            <v>680344.45539243869</v>
          </cell>
        </row>
        <row r="133">
          <cell r="D133">
            <v>2352</v>
          </cell>
          <cell r="E133" t="str">
            <v>Westways Primary School</v>
          </cell>
          <cell r="F133">
            <v>594</v>
          </cell>
          <cell r="G133">
            <v>1689198.9383976343</v>
          </cell>
          <cell r="H133">
            <v>38555.201624793808</v>
          </cell>
          <cell r="I133">
            <v>0</v>
          </cell>
          <cell r="J133">
            <v>27303.778278725298</v>
          </cell>
          <cell r="K133">
            <v>203753.04579926419</v>
          </cell>
          <cell r="L133">
            <v>36205.958081688521</v>
          </cell>
          <cell r="M133">
            <v>1995016.9221821059</v>
          </cell>
          <cell r="N133">
            <v>150000</v>
          </cell>
          <cell r="O133">
            <v>0</v>
          </cell>
          <cell r="P133">
            <v>0</v>
          </cell>
          <cell r="Q133">
            <v>0</v>
          </cell>
          <cell r="R133">
            <v>-31579.141058591133</v>
          </cell>
          <cell r="S133">
            <v>-31579.141058591133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24762</v>
          </cell>
          <cell r="Y133">
            <v>2138199.7811235148</v>
          </cell>
        </row>
        <row r="134">
          <cell r="D134">
            <v>2311</v>
          </cell>
          <cell r="E134" t="str">
            <v>Wharncliffe Side Primary School</v>
          </cell>
          <cell r="F134">
            <v>148</v>
          </cell>
          <cell r="G134">
            <v>420877.84997112775</v>
          </cell>
          <cell r="H134">
            <v>11300.662545198202</v>
          </cell>
          <cell r="I134">
            <v>0</v>
          </cell>
          <cell r="J134">
            <v>2890.9882883356177</v>
          </cell>
          <cell r="K134">
            <v>59262.138384910999</v>
          </cell>
          <cell r="L134">
            <v>0</v>
          </cell>
          <cell r="M134">
            <v>494331.6391895726</v>
          </cell>
          <cell r="N134">
            <v>150000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12220.800078546927</v>
          </cell>
          <cell r="U134">
            <v>12220.800078546927</v>
          </cell>
          <cell r="V134">
            <v>0</v>
          </cell>
          <cell r="W134">
            <v>0</v>
          </cell>
          <cell r="X134">
            <v>11316</v>
          </cell>
          <cell r="Y134">
            <v>667868.43926811928</v>
          </cell>
        </row>
        <row r="135">
          <cell r="D135">
            <v>2040</v>
          </cell>
          <cell r="E135" t="str">
            <v>Whiteways Primary School</v>
          </cell>
          <cell r="F135">
            <v>447</v>
          </cell>
          <cell r="G135">
            <v>1271164.8576830684</v>
          </cell>
          <cell r="H135">
            <v>95723.259206384551</v>
          </cell>
          <cell r="I135">
            <v>0</v>
          </cell>
          <cell r="J135">
            <v>96302.032093668735</v>
          </cell>
          <cell r="K135">
            <v>284339.69721421535</v>
          </cell>
          <cell r="L135">
            <v>76003.810489070747</v>
          </cell>
          <cell r="M135">
            <v>1823533.656686408</v>
          </cell>
          <cell r="N135">
            <v>150000</v>
          </cell>
          <cell r="O135">
            <v>11176.013178287336</v>
          </cell>
          <cell r="P135">
            <v>0</v>
          </cell>
          <cell r="Q135">
            <v>0</v>
          </cell>
          <cell r="R135">
            <v>-4099.288603616872</v>
          </cell>
          <cell r="S135">
            <v>-4099.288603616872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35330</v>
          </cell>
          <cell r="Y135">
            <v>2015940.3812610786</v>
          </cell>
        </row>
        <row r="136">
          <cell r="D136">
            <v>2027</v>
          </cell>
          <cell r="E136" t="str">
            <v>Wincobank Nursery and Infant School</v>
          </cell>
          <cell r="F136">
            <v>174</v>
          </cell>
          <cell r="G136">
            <v>494815.85064173129</v>
          </cell>
          <cell r="H136">
            <v>31907.75306879486</v>
          </cell>
          <cell r="I136">
            <v>0</v>
          </cell>
          <cell r="J136">
            <v>31222.673514024689</v>
          </cell>
          <cell r="K136">
            <v>84344.241920699656</v>
          </cell>
          <cell r="L136">
            <v>26824.074144867565</v>
          </cell>
          <cell r="M136">
            <v>669114.59329011815</v>
          </cell>
          <cell r="N136">
            <v>150000</v>
          </cell>
          <cell r="O136">
            <v>2161.2646349868605</v>
          </cell>
          <cell r="P136">
            <v>0</v>
          </cell>
          <cell r="Q136">
            <v>0</v>
          </cell>
          <cell r="R136">
            <v>-13503.827850533329</v>
          </cell>
          <cell r="S136">
            <v>-13503.827850533329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2317</v>
          </cell>
          <cell r="Y136">
            <v>810089.03007457149</v>
          </cell>
        </row>
        <row r="137">
          <cell r="D137">
            <v>2361</v>
          </cell>
          <cell r="E137" t="str">
            <v>Windmill Hill Primary School</v>
          </cell>
          <cell r="F137">
            <v>371</v>
          </cell>
          <cell r="G137">
            <v>1055038.394184381</v>
          </cell>
          <cell r="H137">
            <v>24595.55965719607</v>
          </cell>
          <cell r="I137">
            <v>0</v>
          </cell>
          <cell r="J137">
            <v>19979.941281608375</v>
          </cell>
          <cell r="K137">
            <v>96368.470609564276</v>
          </cell>
          <cell r="L137">
            <v>5333.7646765679647</v>
          </cell>
          <cell r="M137">
            <v>1201316.1304093176</v>
          </cell>
          <cell r="N137">
            <v>150000</v>
          </cell>
          <cell r="O137">
            <v>1962.2007870275399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3461</v>
          </cell>
          <cell r="Y137">
            <v>1356739.3311963449</v>
          </cell>
        </row>
        <row r="138">
          <cell r="D138">
            <v>2043</v>
          </cell>
          <cell r="E138" t="str">
            <v>Wisewood Community Primary School</v>
          </cell>
          <cell r="F138">
            <v>179</v>
          </cell>
          <cell r="G138">
            <v>509034.69692453963</v>
          </cell>
          <cell r="H138">
            <v>27919.283935195541</v>
          </cell>
          <cell r="I138">
            <v>0</v>
          </cell>
          <cell r="J138">
            <v>9058.4299701182845</v>
          </cell>
          <cell r="K138">
            <v>73324.292565787298</v>
          </cell>
          <cell r="L138">
            <v>1525.6785098145981</v>
          </cell>
          <cell r="M138">
            <v>620862.38190545538</v>
          </cell>
          <cell r="N138">
            <v>150000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49379.876264934908</v>
          </cell>
          <cell r="U138">
            <v>49379.876264934908</v>
          </cell>
          <cell r="V138">
            <v>0</v>
          </cell>
          <cell r="W138">
            <v>0</v>
          </cell>
          <cell r="X138">
            <v>2356</v>
          </cell>
          <cell r="Y138">
            <v>822598.25817039027</v>
          </cell>
        </row>
        <row r="139">
          <cell r="D139">
            <v>2139</v>
          </cell>
          <cell r="E139" t="str">
            <v>Woodhouse West Primary School</v>
          </cell>
          <cell r="F139">
            <v>350</v>
          </cell>
          <cell r="G139">
            <v>995319.23979658587</v>
          </cell>
          <cell r="H139">
            <v>75780.913538387933</v>
          </cell>
          <cell r="I139">
            <v>0</v>
          </cell>
          <cell r="J139">
            <v>64758.137658717904</v>
          </cell>
          <cell r="K139">
            <v>143282.85232997531</v>
          </cell>
          <cell r="L139">
            <v>5946.5188118017359</v>
          </cell>
          <cell r="M139">
            <v>1285087.6621354686</v>
          </cell>
          <cell r="N139">
            <v>150000</v>
          </cell>
          <cell r="O139">
            <v>2275.0154052493531</v>
          </cell>
          <cell r="P139">
            <v>0</v>
          </cell>
          <cell r="Q139">
            <v>0</v>
          </cell>
          <cell r="R139">
            <v>-1131.9639870379051</v>
          </cell>
          <cell r="S139">
            <v>-1131.9639870379051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24240</v>
          </cell>
          <cell r="Y139">
            <v>1460470.7135536799</v>
          </cell>
        </row>
        <row r="140">
          <cell r="D140">
            <v>2324</v>
          </cell>
          <cell r="E140" t="str">
            <v>Woodseats Primary School</v>
          </cell>
          <cell r="F140">
            <v>361</v>
          </cell>
          <cell r="G140">
            <v>1026600.7016187643</v>
          </cell>
          <cell r="H140">
            <v>51185.353881191855</v>
          </cell>
          <cell r="I140">
            <v>0</v>
          </cell>
          <cell r="J140">
            <v>33085.754855396583</v>
          </cell>
          <cell r="K140">
            <v>110355.48545883159</v>
          </cell>
          <cell r="L140">
            <v>7423.6970107782736</v>
          </cell>
          <cell r="M140">
            <v>1228650.9928249628</v>
          </cell>
          <cell r="N140">
            <v>150000</v>
          </cell>
          <cell r="O140">
            <v>0</v>
          </cell>
          <cell r="P140">
            <v>0</v>
          </cell>
          <cell r="Q140">
            <v>0</v>
          </cell>
          <cell r="R140">
            <v>-21609.834916926571</v>
          </cell>
          <cell r="S140">
            <v>-21609.834916926571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20968</v>
          </cell>
          <cell r="Y140">
            <v>1378009.1579080364</v>
          </cell>
        </row>
        <row r="141">
          <cell r="D141">
            <v>2327</v>
          </cell>
          <cell r="E141" t="str">
            <v>Woodthorpe Primary School</v>
          </cell>
          <cell r="F141">
            <v>401</v>
          </cell>
          <cell r="G141">
            <v>1140351.4718812313</v>
          </cell>
          <cell r="H141">
            <v>122977.79828598035</v>
          </cell>
          <cell r="I141">
            <v>0</v>
          </cell>
          <cell r="J141">
            <v>115575.28734923946</v>
          </cell>
          <cell r="K141">
            <v>184770.773063728</v>
          </cell>
          <cell r="L141">
            <v>10454.63302223266</v>
          </cell>
          <cell r="M141">
            <v>1574129.9636024118</v>
          </cell>
          <cell r="N141">
            <v>150000</v>
          </cell>
          <cell r="O141">
            <v>2246.5777126837438</v>
          </cell>
          <cell r="P141">
            <v>0</v>
          </cell>
          <cell r="Q141">
            <v>0</v>
          </cell>
          <cell r="R141">
            <v>-5883.8863266748085</v>
          </cell>
          <cell r="S141">
            <v>-5883.8863266748085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45356</v>
          </cell>
          <cell r="Y141">
            <v>1765848.6549884209</v>
          </cell>
        </row>
        <row r="142">
          <cell r="D142">
            <v>2321</v>
          </cell>
          <cell r="E142" t="str">
            <v>Wybourn Community Primary School</v>
          </cell>
          <cell r="F142">
            <v>390</v>
          </cell>
          <cell r="G142">
            <v>1109070.0100590528</v>
          </cell>
          <cell r="H142">
            <v>107023.92175158291</v>
          </cell>
          <cell r="I142">
            <v>0</v>
          </cell>
          <cell r="J142">
            <v>121724.51547365008</v>
          </cell>
          <cell r="K142">
            <v>209550.97116870937</v>
          </cell>
          <cell r="L142">
            <v>10475.964170997138</v>
          </cell>
          <cell r="M142">
            <v>1557845.3826239924</v>
          </cell>
          <cell r="N142">
            <v>150000</v>
          </cell>
          <cell r="O142">
            <v>1421.8846282808568</v>
          </cell>
          <cell r="P142">
            <v>0</v>
          </cell>
          <cell r="Q142">
            <v>0</v>
          </cell>
          <cell r="R142">
            <v>-72.352245750915458</v>
          </cell>
          <cell r="S142">
            <v>-72.352245750915458</v>
          </cell>
          <cell r="T142">
            <v>0</v>
          </cell>
          <cell r="U142">
            <v>0</v>
          </cell>
          <cell r="V142">
            <v>0</v>
          </cell>
          <cell r="W142">
            <v>10000</v>
          </cell>
          <cell r="X142">
            <v>4018</v>
          </cell>
          <cell r="Y142">
            <v>1723212.9150065226</v>
          </cell>
        </row>
        <row r="143"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D144">
            <v>0</v>
          </cell>
          <cell r="E144" t="str">
            <v>Total Primary</v>
          </cell>
          <cell r="F144">
            <v>43665.416666666672</v>
          </cell>
          <cell r="G144">
            <v>124174369.49162236</v>
          </cell>
          <cell r="H144">
            <v>5953432.9645058876</v>
          </cell>
          <cell r="I144">
            <v>0</v>
          </cell>
          <cell r="J144">
            <v>5935555.4877678258</v>
          </cell>
          <cell r="K144">
            <v>16895243.212647632</v>
          </cell>
          <cell r="L144">
            <v>2016714.3592204158</v>
          </cell>
          <cell r="M144">
            <v>154975315.51576409</v>
          </cell>
          <cell r="N144">
            <v>20100000</v>
          </cell>
          <cell r="O144">
            <v>158741.24148679958</v>
          </cell>
          <cell r="P144">
            <v>0</v>
          </cell>
          <cell r="Q144">
            <v>0</v>
          </cell>
          <cell r="R144">
            <v>-1759534.3179669846</v>
          </cell>
          <cell r="S144">
            <v>-1759534.3179669846</v>
          </cell>
          <cell r="T144">
            <v>1196076.1929877766</v>
          </cell>
          <cell r="U144">
            <v>1196076.1929877766</v>
          </cell>
          <cell r="V144">
            <v>451345.42515503831</v>
          </cell>
          <cell r="W144">
            <v>95775.974956140359</v>
          </cell>
          <cell r="X144">
            <v>1950174</v>
          </cell>
          <cell r="Y144">
            <v>177167894.03238291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84</v>
          </cell>
          <cell r="T145">
            <v>0</v>
          </cell>
          <cell r="U145">
            <v>24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D146">
            <v>0</v>
          </cell>
          <cell r="E146" t="str">
            <v>Secondary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-13033.587540496183</v>
          </cell>
          <cell r="T146">
            <v>0</v>
          </cell>
          <cell r="U146">
            <v>8990.4833232951369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D148">
            <v>5401</v>
          </cell>
          <cell r="E148" t="str">
            <v>All Saints' Catholic High School</v>
          </cell>
          <cell r="F148">
            <v>1027</v>
          </cell>
          <cell r="G148">
            <v>3879360.9376456412</v>
          </cell>
          <cell r="H148">
            <v>104966.18634637589</v>
          </cell>
          <cell r="I148">
            <v>0</v>
          </cell>
          <cell r="J148">
            <v>218232.04876414771</v>
          </cell>
          <cell r="K148">
            <v>361562.26360105601</v>
          </cell>
          <cell r="L148">
            <v>18398.463035174693</v>
          </cell>
          <cell r="M148">
            <v>4582519.8993923953</v>
          </cell>
          <cell r="N148">
            <v>150000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31056.328165210703</v>
          </cell>
          <cell r="U148">
            <v>31056.328165210703</v>
          </cell>
          <cell r="V148">
            <v>0</v>
          </cell>
          <cell r="W148">
            <v>0</v>
          </cell>
          <cell r="X148">
            <v>37255</v>
          </cell>
          <cell r="Y148">
            <v>4800831.2275576061</v>
          </cell>
        </row>
        <row r="149">
          <cell r="D149">
            <v>4276</v>
          </cell>
          <cell r="E149" t="str">
            <v>The Birley Academy</v>
          </cell>
          <cell r="F149">
            <v>1155</v>
          </cell>
          <cell r="G149">
            <v>4353172.610572828</v>
          </cell>
          <cell r="H149">
            <v>160436.1222204777</v>
          </cell>
          <cell r="I149">
            <v>0</v>
          </cell>
          <cell r="J149">
            <v>122237.55267363568</v>
          </cell>
          <cell r="K149">
            <v>560979.43648091785</v>
          </cell>
          <cell r="L149">
            <v>919.9231517587333</v>
          </cell>
          <cell r="M149">
            <v>5197745.6450996185</v>
          </cell>
          <cell r="N149">
            <v>150000</v>
          </cell>
          <cell r="O149">
            <v>0</v>
          </cell>
          <cell r="P149">
            <v>0</v>
          </cell>
          <cell r="Q149">
            <v>0</v>
          </cell>
          <cell r="R149">
            <v>-52732.093904723442</v>
          </cell>
          <cell r="S149">
            <v>-52732.093904723442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49467</v>
          </cell>
          <cell r="Y149">
            <v>5344480.5511948932</v>
          </cell>
        </row>
        <row r="150">
          <cell r="D150">
            <v>4272</v>
          </cell>
          <cell r="E150" t="str">
            <v>Bradfield School</v>
          </cell>
          <cell r="F150">
            <v>961</v>
          </cell>
          <cell r="G150">
            <v>3609610.8719652151</v>
          </cell>
          <cell r="H150">
            <v>61443.621275927544</v>
          </cell>
          <cell r="I150">
            <v>0</v>
          </cell>
          <cell r="J150">
            <v>15679.303776885225</v>
          </cell>
          <cell r="K150">
            <v>250841.5974094407</v>
          </cell>
          <cell r="L150">
            <v>919.92315175873057</v>
          </cell>
          <cell r="M150">
            <v>3938495.317579227</v>
          </cell>
          <cell r="N150">
            <v>150000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431558.26042459824</v>
          </cell>
          <cell r="W150">
            <v>0</v>
          </cell>
          <cell r="X150">
            <v>38555</v>
          </cell>
          <cell r="Y150">
            <v>4558608.5780038256</v>
          </cell>
        </row>
        <row r="151">
          <cell r="D151">
            <v>4000</v>
          </cell>
          <cell r="E151" t="str">
            <v>Chaucer School</v>
          </cell>
          <cell r="F151">
            <v>824</v>
          </cell>
          <cell r="G151">
            <v>3067202.5883680852</v>
          </cell>
          <cell r="H151">
            <v>237240.64881538681</v>
          </cell>
          <cell r="I151">
            <v>0</v>
          </cell>
          <cell r="J151">
            <v>311285.30813566205</v>
          </cell>
          <cell r="K151">
            <v>436200.31128936878</v>
          </cell>
          <cell r="L151">
            <v>8279.3083658286141</v>
          </cell>
          <cell r="M151">
            <v>4060208.1649743319</v>
          </cell>
          <cell r="N151">
            <v>150000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80067.659855254242</v>
          </cell>
          <cell r="U151">
            <v>80067.659855254242</v>
          </cell>
          <cell r="V151">
            <v>0</v>
          </cell>
          <cell r="W151">
            <v>0</v>
          </cell>
          <cell r="X151">
            <v>19503</v>
          </cell>
          <cell r="Y151">
            <v>4309778.8248295859</v>
          </cell>
        </row>
        <row r="152">
          <cell r="D152">
            <v>4270</v>
          </cell>
          <cell r="E152" t="str">
            <v>Ecclesfield School</v>
          </cell>
          <cell r="F152">
            <v>1718</v>
          </cell>
          <cell r="G152">
            <v>6479744.0034509916</v>
          </cell>
          <cell r="H152">
            <v>215052.67446574586</v>
          </cell>
          <cell r="I152">
            <v>0</v>
          </cell>
          <cell r="J152">
            <v>236297.33355055898</v>
          </cell>
          <cell r="K152">
            <v>620984.5621040148</v>
          </cell>
          <cell r="L152">
            <v>4602.2946264458451</v>
          </cell>
          <cell r="M152">
            <v>7556680.8681977568</v>
          </cell>
          <cell r="N152">
            <v>150000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637421.26924206421</v>
          </cell>
          <cell r="W152">
            <v>0</v>
          </cell>
          <cell r="X152">
            <v>41905</v>
          </cell>
          <cell r="Y152">
            <v>8386007.1374398218</v>
          </cell>
        </row>
        <row r="153">
          <cell r="D153">
            <v>4280</v>
          </cell>
          <cell r="E153" t="str">
            <v>Fir Vale School</v>
          </cell>
          <cell r="F153">
            <v>1007</v>
          </cell>
          <cell r="G153">
            <v>3793856.8400643505</v>
          </cell>
          <cell r="H153">
            <v>314898.5590391283</v>
          </cell>
          <cell r="I153">
            <v>0</v>
          </cell>
          <cell r="J153">
            <v>287540.61264534201</v>
          </cell>
          <cell r="K153">
            <v>700403.40561361611</v>
          </cell>
          <cell r="L153">
            <v>88312.622568838342</v>
          </cell>
          <cell r="M153">
            <v>5185012.039931275</v>
          </cell>
          <cell r="N153">
            <v>150000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147715.96822831538</v>
          </cell>
          <cell r="U153">
            <v>147715.96822831538</v>
          </cell>
          <cell r="V153">
            <v>373622.36212267674</v>
          </cell>
          <cell r="W153">
            <v>0</v>
          </cell>
          <cell r="X153">
            <v>28841</v>
          </cell>
          <cell r="Y153">
            <v>5885191.3702822691</v>
          </cell>
        </row>
        <row r="154">
          <cell r="D154">
            <v>4003</v>
          </cell>
          <cell r="E154" t="str">
            <v>Firth Park Academy</v>
          </cell>
          <cell r="F154">
            <v>1149</v>
          </cell>
          <cell r="G154">
            <v>4275963.6516008126</v>
          </cell>
          <cell r="H154">
            <v>372399.36954212398</v>
          </cell>
          <cell r="I154">
            <v>0</v>
          </cell>
          <cell r="J154">
            <v>419237.78755273123</v>
          </cell>
          <cell r="K154">
            <v>658776.64463931799</v>
          </cell>
          <cell r="L154">
            <v>102892.9974785719</v>
          </cell>
          <cell r="M154">
            <v>5829270.450813557</v>
          </cell>
          <cell r="N154">
            <v>150000</v>
          </cell>
          <cell r="O154">
            <v>3089.8328112305549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10860.199327701615</v>
          </cell>
          <cell r="U154">
            <v>10860.199327701615</v>
          </cell>
          <cell r="V154">
            <v>0</v>
          </cell>
          <cell r="W154">
            <v>0</v>
          </cell>
          <cell r="X154">
            <v>25839</v>
          </cell>
          <cell r="Y154">
            <v>6019059.4829524895</v>
          </cell>
        </row>
        <row r="155">
          <cell r="D155">
            <v>4007</v>
          </cell>
          <cell r="E155" t="str">
            <v>Forge Valley School</v>
          </cell>
          <cell r="F155">
            <v>1093</v>
          </cell>
          <cell r="G155">
            <v>4088947.6259831944</v>
          </cell>
          <cell r="H155">
            <v>118620.32440769381</v>
          </cell>
          <cell r="I155">
            <v>0</v>
          </cell>
          <cell r="J155">
            <v>85213.60748307209</v>
          </cell>
          <cell r="K155">
            <v>380904.11012450478</v>
          </cell>
          <cell r="L155">
            <v>34957.079766831819</v>
          </cell>
          <cell r="M155">
            <v>4708642.7477652971</v>
          </cell>
          <cell r="N155">
            <v>150000</v>
          </cell>
          <cell r="O155">
            <v>0</v>
          </cell>
          <cell r="P155">
            <v>117614.25223470283</v>
          </cell>
          <cell r="Q155">
            <v>117614.25223470283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51543</v>
          </cell>
          <cell r="Y155">
            <v>5027800</v>
          </cell>
        </row>
        <row r="156">
          <cell r="D156">
            <v>4278</v>
          </cell>
          <cell r="E156" t="str">
            <v>Handsworth Grange Community Sports College</v>
          </cell>
          <cell r="F156">
            <v>1014</v>
          </cell>
          <cell r="G156">
            <v>3833417.0302100475</v>
          </cell>
          <cell r="H156">
            <v>195424.85100260304</v>
          </cell>
          <cell r="I156">
            <v>0</v>
          </cell>
          <cell r="J156">
            <v>216186.92218455381</v>
          </cell>
          <cell r="K156">
            <v>541136.93949598644</v>
          </cell>
          <cell r="L156">
            <v>20238.309338692095</v>
          </cell>
          <cell r="M156">
            <v>4806404.0522318818</v>
          </cell>
          <cell r="N156">
            <v>150000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24989</v>
          </cell>
          <cell r="Y156">
            <v>4981393.0522318818</v>
          </cell>
        </row>
        <row r="157">
          <cell r="D157">
            <v>4257</v>
          </cell>
          <cell r="E157" t="str">
            <v>High Storrs School</v>
          </cell>
          <cell r="F157">
            <v>1199</v>
          </cell>
          <cell r="G157">
            <v>4531229.0103032384</v>
          </cell>
          <cell r="H157">
            <v>65710.539420089131</v>
          </cell>
          <cell r="I157">
            <v>0</v>
          </cell>
          <cell r="J157">
            <v>38516.550582348587</v>
          </cell>
          <cell r="K157">
            <v>304966.46366832365</v>
          </cell>
          <cell r="L157">
            <v>9206.9103418924878</v>
          </cell>
          <cell r="M157">
            <v>4949629.474315892</v>
          </cell>
          <cell r="N157">
            <v>150000</v>
          </cell>
          <cell r="O157">
            <v>0</v>
          </cell>
          <cell r="P157">
            <v>370115.52568410721</v>
          </cell>
          <cell r="Q157">
            <v>370115.52568410721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45655</v>
          </cell>
          <cell r="Y157">
            <v>5515399.9999999991</v>
          </cell>
        </row>
        <row r="158">
          <cell r="D158">
            <v>4230</v>
          </cell>
          <cell r="E158" t="str">
            <v>King Ecgbert School</v>
          </cell>
          <cell r="F158">
            <v>991</v>
          </cell>
          <cell r="G158">
            <v>3736724.6757293753</v>
          </cell>
          <cell r="H158">
            <v>98139.117315717333</v>
          </cell>
          <cell r="I158">
            <v>0</v>
          </cell>
          <cell r="J158">
            <v>42521.590134052989</v>
          </cell>
          <cell r="K158">
            <v>281544.5262863281</v>
          </cell>
          <cell r="L158">
            <v>12044.075166776141</v>
          </cell>
          <cell r="M158">
            <v>4170973.9846322504</v>
          </cell>
          <cell r="N158">
            <v>150000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555196.08591844619</v>
          </cell>
          <cell r="W158">
            <v>0</v>
          </cell>
          <cell r="X158">
            <v>39440</v>
          </cell>
          <cell r="Y158">
            <v>4915610.0705506969</v>
          </cell>
        </row>
        <row r="159">
          <cell r="D159">
            <v>4259</v>
          </cell>
          <cell r="E159" t="str">
            <v>King Edward VII School</v>
          </cell>
          <cell r="F159">
            <v>1135</v>
          </cell>
          <cell r="G159">
            <v>4288992.2416700236</v>
          </cell>
          <cell r="H159">
            <v>185184.2474566146</v>
          </cell>
          <cell r="I159">
            <v>0</v>
          </cell>
          <cell r="J159">
            <v>166592.60262940556</v>
          </cell>
          <cell r="K159">
            <v>409908.5443035044</v>
          </cell>
          <cell r="L159">
            <v>50685.086274085486</v>
          </cell>
          <cell r="M159">
            <v>5101362.7223336343</v>
          </cell>
          <cell r="N159">
            <v>150000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421113.58590788295</v>
          </cell>
          <cell r="W159">
            <v>312963.25613855</v>
          </cell>
          <cell r="X159">
            <v>314219</v>
          </cell>
          <cell r="Y159">
            <v>6299658.5643800665</v>
          </cell>
        </row>
        <row r="160">
          <cell r="D160">
            <v>4279</v>
          </cell>
          <cell r="E160" t="str">
            <v>Meadowhead School Academy Trust</v>
          </cell>
          <cell r="F160">
            <v>1626</v>
          </cell>
          <cell r="G160">
            <v>6142476.0985319335</v>
          </cell>
          <cell r="H160">
            <v>227000.04526939869</v>
          </cell>
          <cell r="I160">
            <v>0</v>
          </cell>
          <cell r="J160">
            <v>219169.39844646113</v>
          </cell>
          <cell r="K160">
            <v>674519.96161060315</v>
          </cell>
          <cell r="L160">
            <v>13798.847276380997</v>
          </cell>
          <cell r="M160">
            <v>7276964.351134778</v>
          </cell>
          <cell r="N160">
            <v>150000</v>
          </cell>
          <cell r="O160">
            <v>0</v>
          </cell>
          <cell r="P160">
            <v>0</v>
          </cell>
          <cell r="Q160">
            <v>0</v>
          </cell>
          <cell r="R160">
            <v>-10910.406221915842</v>
          </cell>
          <cell r="S160">
            <v>-10910.406221915842</v>
          </cell>
          <cell r="T160">
            <v>0</v>
          </cell>
          <cell r="U160">
            <v>0</v>
          </cell>
          <cell r="V160">
            <v>632446.244599103</v>
          </cell>
          <cell r="W160">
            <v>0</v>
          </cell>
          <cell r="X160">
            <v>63147</v>
          </cell>
          <cell r="Y160">
            <v>8111647.189511966</v>
          </cell>
        </row>
        <row r="161">
          <cell r="D161">
            <v>4999</v>
          </cell>
          <cell r="E161" t="str">
            <v>Mercia Academy x 7/12</v>
          </cell>
          <cell r="F161">
            <v>70</v>
          </cell>
          <cell r="G161">
            <v>243289.55375349024</v>
          </cell>
          <cell r="H161">
            <v>6148.0124580029269</v>
          </cell>
          <cell r="I161">
            <v>0</v>
          </cell>
          <cell r="J161">
            <v>3161.272038422514</v>
          </cell>
          <cell r="K161">
            <v>16842.878465224876</v>
          </cell>
          <cell r="L161">
            <v>671.15004399150519</v>
          </cell>
          <cell r="M161">
            <v>270112.86675913207</v>
          </cell>
          <cell r="N161">
            <v>87500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20417</v>
          </cell>
          <cell r="Y161">
            <v>378029.86675913207</v>
          </cell>
        </row>
        <row r="162">
          <cell r="D162">
            <v>4008</v>
          </cell>
          <cell r="E162" t="str">
            <v>Newfield Secondary School</v>
          </cell>
          <cell r="F162">
            <v>1005</v>
          </cell>
          <cell r="G162">
            <v>3767105.1047556559</v>
          </cell>
          <cell r="H162">
            <v>227000.04526939904</v>
          </cell>
          <cell r="I162">
            <v>0</v>
          </cell>
          <cell r="J162">
            <v>215249.57250224016</v>
          </cell>
          <cell r="K162">
            <v>486150.26869034505</v>
          </cell>
          <cell r="L162">
            <v>50696.662226783636</v>
          </cell>
          <cell r="M162">
            <v>4746201.6534444243</v>
          </cell>
          <cell r="N162">
            <v>150000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23458.781949251694</v>
          </cell>
          <cell r="U162">
            <v>23458.781949251694</v>
          </cell>
          <cell r="V162">
            <v>520043.23843059037</v>
          </cell>
          <cell r="W162">
            <v>0</v>
          </cell>
          <cell r="X162">
            <v>35970</v>
          </cell>
          <cell r="Y162">
            <v>5475673.6738242656</v>
          </cell>
        </row>
        <row r="163">
          <cell r="D163">
            <v>5400</v>
          </cell>
          <cell r="E163" t="str">
            <v>Notre Dame High School</v>
          </cell>
          <cell r="F163">
            <v>1057</v>
          </cell>
          <cell r="G163">
            <v>3985912.5744698322</v>
          </cell>
          <cell r="H163">
            <v>48642.866843442593</v>
          </cell>
          <cell r="I163">
            <v>0</v>
          </cell>
          <cell r="J163">
            <v>111479.65295857631</v>
          </cell>
          <cell r="K163">
            <v>241360.19762744493</v>
          </cell>
          <cell r="L163">
            <v>3679.6926070349305</v>
          </cell>
          <cell r="M163">
            <v>4391074.9845063305</v>
          </cell>
          <cell r="N163">
            <v>150000</v>
          </cell>
          <cell r="O163">
            <v>0</v>
          </cell>
          <cell r="P163">
            <v>296597.01549366891</v>
          </cell>
          <cell r="Q163">
            <v>296597.01549366891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24528</v>
          </cell>
          <cell r="Y163">
            <v>4862199.9999999991</v>
          </cell>
        </row>
        <row r="164">
          <cell r="D164">
            <v>4006</v>
          </cell>
          <cell r="E164" t="str">
            <v>Outwood Academy City</v>
          </cell>
          <cell r="F164">
            <v>993</v>
          </cell>
          <cell r="G164">
            <v>3701028.3484796444</v>
          </cell>
          <cell r="H164">
            <v>194571.46737377052</v>
          </cell>
          <cell r="I164">
            <v>0</v>
          </cell>
          <cell r="J164">
            <v>224623.06932537799</v>
          </cell>
          <cell r="K164">
            <v>395738.37890868762</v>
          </cell>
          <cell r="L164">
            <v>12891.906911038257</v>
          </cell>
          <cell r="M164">
            <v>4528853.1709985184</v>
          </cell>
          <cell r="N164">
            <v>150000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83028.903933906913</v>
          </cell>
          <cell r="U164">
            <v>83028.903933906913</v>
          </cell>
          <cell r="V164">
            <v>0</v>
          </cell>
          <cell r="W164">
            <v>0</v>
          </cell>
          <cell r="X164">
            <v>42190</v>
          </cell>
          <cell r="Y164">
            <v>4804072.0749324253</v>
          </cell>
        </row>
        <row r="165">
          <cell r="D165">
            <v>6907</v>
          </cell>
          <cell r="E165" t="str">
            <v>Parkwood E-Act Academy</v>
          </cell>
          <cell r="F165">
            <v>872</v>
          </cell>
          <cell r="G165">
            <v>3276677.168298881</v>
          </cell>
          <cell r="H165">
            <v>279056.4466281709</v>
          </cell>
          <cell r="I165">
            <v>0</v>
          </cell>
          <cell r="J165">
            <v>303701.29706966854</v>
          </cell>
          <cell r="K165">
            <v>565009.61514846049</v>
          </cell>
          <cell r="L165">
            <v>70074.88173948825</v>
          </cell>
          <cell r="M165">
            <v>4494519.4088846687</v>
          </cell>
          <cell r="N165">
            <v>150000</v>
          </cell>
          <cell r="O165">
            <v>5571.917828433222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148148.61841798446</v>
          </cell>
          <cell r="U165">
            <v>148148.61841798446</v>
          </cell>
          <cell r="V165">
            <v>0</v>
          </cell>
          <cell r="W165">
            <v>0</v>
          </cell>
          <cell r="X165">
            <v>35241</v>
          </cell>
          <cell r="Y165">
            <v>4833480.9451310849</v>
          </cell>
        </row>
        <row r="166">
          <cell r="D166">
            <v>6905</v>
          </cell>
          <cell r="E166" t="str">
            <v>Sheffield Park Academy</v>
          </cell>
          <cell r="F166">
            <v>925</v>
          </cell>
          <cell r="G166">
            <v>3458597.4309252575</v>
          </cell>
          <cell r="H166">
            <v>299537.65372014639</v>
          </cell>
          <cell r="I166">
            <v>0</v>
          </cell>
          <cell r="J166">
            <v>320573.59135131736</v>
          </cell>
          <cell r="K166">
            <v>534198.05490688386</v>
          </cell>
          <cell r="L166">
            <v>51965.124603165044</v>
          </cell>
          <cell r="M166">
            <v>4664871.8555067703</v>
          </cell>
          <cell r="N166">
            <v>150000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55856.435941520394</v>
          </cell>
          <cell r="U166">
            <v>55856.435941520394</v>
          </cell>
          <cell r="V166">
            <v>0</v>
          </cell>
          <cell r="W166">
            <v>0</v>
          </cell>
          <cell r="X166">
            <v>50546</v>
          </cell>
          <cell r="Y166">
            <v>4921274.2914482923</v>
          </cell>
        </row>
        <row r="167">
          <cell r="D167">
            <v>6906</v>
          </cell>
          <cell r="E167" t="str">
            <v>Sheffield Springs Academy</v>
          </cell>
          <cell r="F167">
            <v>687</v>
          </cell>
          <cell r="G167">
            <v>2582672.9968982777</v>
          </cell>
          <cell r="H167">
            <v>252601.55413436881</v>
          </cell>
          <cell r="I167">
            <v>0</v>
          </cell>
          <cell r="J167">
            <v>236638.18798049106</v>
          </cell>
          <cell r="K167">
            <v>375881.55979541806</v>
          </cell>
          <cell r="L167">
            <v>35525.907987889776</v>
          </cell>
          <cell r="M167">
            <v>3483320.2067964459</v>
          </cell>
          <cell r="N167">
            <v>150000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48621</v>
          </cell>
          <cell r="Y167">
            <v>3681941.2067964459</v>
          </cell>
        </row>
        <row r="168">
          <cell r="D168">
            <v>4229</v>
          </cell>
          <cell r="E168" t="str">
            <v>Silverdale School</v>
          </cell>
          <cell r="F168">
            <v>967</v>
          </cell>
          <cell r="G168">
            <v>3638841.4414106337</v>
          </cell>
          <cell r="H168">
            <v>96432.350058053329</v>
          </cell>
          <cell r="I168">
            <v>0</v>
          </cell>
          <cell r="J168">
            <v>58456.534733387423</v>
          </cell>
          <cell r="K168">
            <v>253978.37892620056</v>
          </cell>
          <cell r="L168">
            <v>8636.5600752494665</v>
          </cell>
          <cell r="M168">
            <v>4056345.2652035244</v>
          </cell>
          <cell r="N168">
            <v>150000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780064.85764588555</v>
          </cell>
          <cell r="W168">
            <v>0</v>
          </cell>
          <cell r="X168">
            <v>44026</v>
          </cell>
          <cell r="Y168">
            <v>5030436.1228494104</v>
          </cell>
        </row>
        <row r="169">
          <cell r="D169">
            <v>4271</v>
          </cell>
          <cell r="E169" t="str">
            <v>Stocksbridge High School</v>
          </cell>
          <cell r="F169">
            <v>812</v>
          </cell>
          <cell r="G169">
            <v>3052912.0303112557</v>
          </cell>
          <cell r="H169">
            <v>93018.815542723329</v>
          </cell>
          <cell r="I169">
            <v>0</v>
          </cell>
          <cell r="J169">
            <v>51128.164489843184</v>
          </cell>
          <cell r="K169">
            <v>233158.87713917249</v>
          </cell>
          <cell r="L169">
            <v>3679.6926070349346</v>
          </cell>
          <cell r="M169">
            <v>3433897.5800900301</v>
          </cell>
          <cell r="N169">
            <v>150000</v>
          </cell>
          <cell r="O169">
            <v>0</v>
          </cell>
          <cell r="P169">
            <v>127260.41990996977</v>
          </cell>
          <cell r="Q169">
            <v>127260.41990996977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24042</v>
          </cell>
          <cell r="Y169">
            <v>3735200</v>
          </cell>
        </row>
        <row r="170">
          <cell r="D170">
            <v>4234</v>
          </cell>
          <cell r="E170" t="str">
            <v>Tapton School</v>
          </cell>
          <cell r="F170">
            <v>1231</v>
          </cell>
          <cell r="G170">
            <v>4621123.3633406321</v>
          </cell>
          <cell r="H170">
            <v>107526.33723287277</v>
          </cell>
          <cell r="I170">
            <v>0</v>
          </cell>
          <cell r="J170">
            <v>79674.722996672397</v>
          </cell>
          <cell r="K170">
            <v>349411.39032872336</v>
          </cell>
          <cell r="L170">
            <v>24015.546815000049</v>
          </cell>
          <cell r="M170">
            <v>5181751.360713901</v>
          </cell>
          <cell r="N170">
            <v>150000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456732.00374678755</v>
          </cell>
          <cell r="W170">
            <v>0</v>
          </cell>
          <cell r="X170">
            <v>46449</v>
          </cell>
          <cell r="Y170">
            <v>5834932.3644606881</v>
          </cell>
        </row>
        <row r="171">
          <cell r="D171">
            <v>4004</v>
          </cell>
          <cell r="E171" t="str">
            <v>UTC Sheffield</v>
          </cell>
          <cell r="F171">
            <v>205</v>
          </cell>
          <cell r="G171">
            <v>868610.99238842912</v>
          </cell>
          <cell r="H171">
            <v>17921.056205478879</v>
          </cell>
          <cell r="I171">
            <v>0</v>
          </cell>
          <cell r="J171">
            <v>30506.471478939799</v>
          </cell>
          <cell r="K171">
            <v>79051.813444102547</v>
          </cell>
          <cell r="L171">
            <v>1848.8651579464733</v>
          </cell>
          <cell r="M171">
            <v>997939.19867489673</v>
          </cell>
          <cell r="N171">
            <v>150000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27362</v>
          </cell>
          <cell r="Y171">
            <v>1175301.1986748967</v>
          </cell>
        </row>
        <row r="172">
          <cell r="D172">
            <v>4010</v>
          </cell>
          <cell r="E172" t="str">
            <v>UTC Sheffield Olympic Legacy Park</v>
          </cell>
          <cell r="F172">
            <v>189</v>
          </cell>
          <cell r="G172">
            <v>800816.96371421032</v>
          </cell>
          <cell r="H172">
            <v>13654.138061317239</v>
          </cell>
          <cell r="I172">
            <v>0</v>
          </cell>
          <cell r="J172">
            <v>29143.053759210652</v>
          </cell>
          <cell r="K172">
            <v>27994.882738405533</v>
          </cell>
          <cell r="L172">
            <v>924.81636001276843</v>
          </cell>
          <cell r="M172">
            <v>872533.85463315644</v>
          </cell>
          <cell r="N172">
            <v>150000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19245.530455270258</v>
          </cell>
          <cell r="U172">
            <v>19245.530455270258</v>
          </cell>
          <cell r="V172">
            <v>0</v>
          </cell>
          <cell r="W172">
            <v>0</v>
          </cell>
          <cell r="X172">
            <v>26376</v>
          </cell>
          <cell r="Y172">
            <v>1068155.3850884268</v>
          </cell>
        </row>
        <row r="173">
          <cell r="D173">
            <v>4252</v>
          </cell>
          <cell r="E173" t="str">
            <v>Westfield School</v>
          </cell>
          <cell r="F173">
            <v>1176</v>
          </cell>
          <cell r="G173">
            <v>4456621.9462395702</v>
          </cell>
          <cell r="H173">
            <v>129714.31158251359</v>
          </cell>
          <cell r="I173">
            <v>0</v>
          </cell>
          <cell r="J173">
            <v>101233.76568988961</v>
          </cell>
          <cell r="K173">
            <v>422717.36497373768</v>
          </cell>
          <cell r="L173">
            <v>4603.5303253968941</v>
          </cell>
          <cell r="M173">
            <v>5114890.918811108</v>
          </cell>
          <cell r="N173">
            <v>150000</v>
          </cell>
          <cell r="O173">
            <v>0</v>
          </cell>
          <cell r="P173">
            <v>0</v>
          </cell>
          <cell r="Q173">
            <v>0</v>
          </cell>
          <cell r="R173">
            <v>-53469.301316842721</v>
          </cell>
          <cell r="S173">
            <v>-53469.301316842721</v>
          </cell>
          <cell r="T173">
            <v>0</v>
          </cell>
          <cell r="U173">
            <v>0</v>
          </cell>
          <cell r="V173">
            <v>457414.99609381618</v>
          </cell>
          <cell r="W173">
            <v>0</v>
          </cell>
          <cell r="X173">
            <v>202571</v>
          </cell>
          <cell r="Y173">
            <v>5871407.6135880826</v>
          </cell>
        </row>
        <row r="174">
          <cell r="D174">
            <v>4253</v>
          </cell>
          <cell r="E174" t="str">
            <v>Yewlands Academy</v>
          </cell>
          <cell r="F174">
            <v>858</v>
          </cell>
          <cell r="G174">
            <v>3196033.6645304523</v>
          </cell>
          <cell r="H174">
            <v>162996.27310697472</v>
          </cell>
          <cell r="I174">
            <v>0</v>
          </cell>
          <cell r="J174">
            <v>212948.80510019694</v>
          </cell>
          <cell r="K174">
            <v>311672.36152312387</v>
          </cell>
          <cell r="L174">
            <v>1841.9931486790958</v>
          </cell>
          <cell r="M174">
            <v>3885493.0974094267</v>
          </cell>
          <cell r="N174">
            <v>150000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10839.579957657399</v>
          </cell>
          <cell r="U174">
            <v>10839.579957657399</v>
          </cell>
          <cell r="V174">
            <v>0</v>
          </cell>
          <cell r="W174">
            <v>0</v>
          </cell>
          <cell r="X174">
            <v>29196</v>
          </cell>
          <cell r="Y174">
            <v>4075528.6773670842</v>
          </cell>
        </row>
        <row r="175">
          <cell r="D175">
            <v>0</v>
          </cell>
          <cell r="E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D176">
            <v>0</v>
          </cell>
          <cell r="E176" t="str">
            <v>Total Secondary</v>
          </cell>
          <cell r="F176">
            <v>25946</v>
          </cell>
          <cell r="G176">
            <v>97730941.765611961</v>
          </cell>
          <cell r="H176">
            <v>4285337.6347945184</v>
          </cell>
          <cell r="I176">
            <v>0</v>
          </cell>
          <cell r="J176">
            <v>4357228.780033092</v>
          </cell>
          <cell r="K176">
            <v>10475894.789242912</v>
          </cell>
          <cell r="L176">
            <v>636312.17115174711</v>
          </cell>
          <cell r="M176">
            <v>117485715.14083424</v>
          </cell>
          <cell r="N176">
            <v>3987500</v>
          </cell>
          <cell r="O176">
            <v>8661.7506396637764</v>
          </cell>
          <cell r="P176">
            <v>911587.21332244866</v>
          </cell>
          <cell r="Q176">
            <v>911587.21332244866</v>
          </cell>
          <cell r="R176">
            <v>-117111.80144348201</v>
          </cell>
          <cell r="S176">
            <v>-117111.80144348201</v>
          </cell>
          <cell r="T176">
            <v>610278.00623207318</v>
          </cell>
          <cell r="U176">
            <v>610278.00623207318</v>
          </cell>
          <cell r="V176">
            <v>5265612.9041318512</v>
          </cell>
          <cell r="W176">
            <v>312963.25613855</v>
          </cell>
          <cell r="X176">
            <v>1437893</v>
          </cell>
          <cell r="Y176">
            <v>129903099.46985543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3</v>
          </cell>
          <cell r="T177">
            <v>0</v>
          </cell>
          <cell r="U177">
            <v>10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D178">
            <v>0</v>
          </cell>
          <cell r="E178" t="str">
            <v>Middle Deemed Secondary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-4182.5643372672148</v>
          </cell>
          <cell r="T178">
            <v>0</v>
          </cell>
          <cell r="U178">
            <v>23036.260622982634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D180">
            <v>4998</v>
          </cell>
          <cell r="E180" t="str">
            <v>Astrea Academy - Woodside x 7/12</v>
          </cell>
          <cell r="F180">
            <v>122.5</v>
          </cell>
          <cell r="G180">
            <v>403643.86617152137</v>
          </cell>
          <cell r="H180">
            <v>37951.660130717122</v>
          </cell>
          <cell r="I180">
            <v>0</v>
          </cell>
          <cell r="J180">
            <v>37947.028539617364</v>
          </cell>
          <cell r="K180">
            <v>47745.165371455078</v>
          </cell>
          <cell r="L180">
            <v>12885.648646224457</v>
          </cell>
          <cell r="M180">
            <v>540173.36885953532</v>
          </cell>
          <cell r="N180">
            <v>87500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20417</v>
          </cell>
          <cell r="Y180">
            <v>648090.36885953532</v>
          </cell>
        </row>
        <row r="181">
          <cell r="D181">
            <v>4225</v>
          </cell>
          <cell r="E181" t="str">
            <v>Hinde House 3-16 School</v>
          </cell>
          <cell r="F181">
            <v>1259</v>
          </cell>
          <cell r="G181">
            <v>4350793.1791429734</v>
          </cell>
          <cell r="H181">
            <v>303266.08318872721</v>
          </cell>
          <cell r="I181">
            <v>0</v>
          </cell>
          <cell r="J181">
            <v>359316.93077953515</v>
          </cell>
          <cell r="K181">
            <v>752038.74158403126</v>
          </cell>
          <cell r="L181">
            <v>98254.384607077256</v>
          </cell>
          <cell r="M181">
            <v>5863669.3193023447</v>
          </cell>
          <cell r="N181">
            <v>150000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52376.346868507353</v>
          </cell>
          <cell r="U181">
            <v>52376.346868507353</v>
          </cell>
          <cell r="V181">
            <v>632717.25396524626</v>
          </cell>
          <cell r="W181">
            <v>155417.38283560667</v>
          </cell>
          <cell r="X181">
            <v>42990</v>
          </cell>
          <cell r="Y181">
            <v>6897170.3029717039</v>
          </cell>
        </row>
        <row r="182">
          <cell r="D182">
            <v>4005</v>
          </cell>
          <cell r="E182" t="str">
            <v>Oasis Academy Don Valley</v>
          </cell>
          <cell r="F182">
            <v>333.75</v>
          </cell>
          <cell r="G182">
            <v>1004390.121620175</v>
          </cell>
          <cell r="H182">
            <v>75114.859731397795</v>
          </cell>
          <cell r="I182">
            <v>0</v>
          </cell>
          <cell r="J182">
            <v>100538.05881795753</v>
          </cell>
          <cell r="K182">
            <v>92498.583753229628</v>
          </cell>
          <cell r="L182">
            <v>58731.503763158282</v>
          </cell>
          <cell r="M182">
            <v>1331273.1276859182</v>
          </cell>
          <cell r="N182">
            <v>150000</v>
          </cell>
          <cell r="O182">
            <v>11239.759014353565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27942.898867307631</v>
          </cell>
          <cell r="U182">
            <v>27942.898867307631</v>
          </cell>
          <cell r="V182">
            <v>0</v>
          </cell>
          <cell r="W182">
            <v>50000</v>
          </cell>
          <cell r="X182">
            <v>35062</v>
          </cell>
          <cell r="Y182">
            <v>1605517.7855675796</v>
          </cell>
        </row>
        <row r="183">
          <cell r="D183">
            <v>0</v>
          </cell>
          <cell r="E183">
            <v>0</v>
          </cell>
          <cell r="H183">
            <v>0</v>
          </cell>
          <cell r="I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D184">
            <v>0</v>
          </cell>
          <cell r="E184" t="str">
            <v>Total Middle Deemed Secondary</v>
          </cell>
          <cell r="F184">
            <v>1715.25</v>
          </cell>
          <cell r="G184">
            <v>5758827.166934669</v>
          </cell>
          <cell r="H184">
            <v>416332.60305084218</v>
          </cell>
          <cell r="I184">
            <v>0</v>
          </cell>
          <cell r="J184">
            <v>497802.01813711005</v>
          </cell>
          <cell r="K184">
            <v>892282.49070871598</v>
          </cell>
          <cell r="L184">
            <v>169871.53701646</v>
          </cell>
          <cell r="M184">
            <v>7735115.8158477983</v>
          </cell>
          <cell r="N184">
            <v>387500</v>
          </cell>
          <cell r="O184">
            <v>11239.759014353565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80319.245735814984</v>
          </cell>
          <cell r="U184">
            <v>80319.245735814984</v>
          </cell>
          <cell r="V184">
            <v>632717.25396524626</v>
          </cell>
          <cell r="W184">
            <v>205417.38283560667</v>
          </cell>
          <cell r="X184">
            <v>98469</v>
          </cell>
          <cell r="Y184">
            <v>9150778.4573988188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D186">
            <v>0</v>
          </cell>
          <cell r="E186" t="str">
            <v>Total All Schools</v>
          </cell>
          <cell r="F186">
            <v>71326.666666666672</v>
          </cell>
          <cell r="G186">
            <v>227664138.424169</v>
          </cell>
          <cell r="H186">
            <v>10655103.202351248</v>
          </cell>
          <cell r="I186">
            <v>0</v>
          </cell>
          <cell r="J186">
            <v>10790586.285938028</v>
          </cell>
          <cell r="K186">
            <v>28263420.49259926</v>
          </cell>
          <cell r="L186">
            <v>2822898.067388623</v>
          </cell>
          <cell r="M186">
            <v>280196146.47244614</v>
          </cell>
          <cell r="N186">
            <v>24475000</v>
          </cell>
          <cell r="O186">
            <v>178642.75114081692</v>
          </cell>
          <cell r="P186">
            <v>911587.21332244866</v>
          </cell>
          <cell r="Q186">
            <v>911587.21332244866</v>
          </cell>
          <cell r="R186">
            <v>-1876646.1194104666</v>
          </cell>
          <cell r="S186">
            <v>-1876646.1194104666</v>
          </cell>
          <cell r="T186">
            <v>1886673.4449556647</v>
          </cell>
          <cell r="U186">
            <v>1886673.4449556647</v>
          </cell>
          <cell r="V186">
            <v>6349675.5832521357</v>
          </cell>
          <cell r="W186">
            <v>614156.61393029708</v>
          </cell>
          <cell r="X186">
            <v>3486536</v>
          </cell>
          <cell r="Y186">
            <v>316221772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3.007156471721828E-2</v>
          </cell>
          <cell r="T187">
            <v>0</v>
          </cell>
          <cell r="U187">
            <v>10027.325545198051</v>
          </cell>
          <cell r="V187" t="str">
            <v>MFG Ok</v>
          </cell>
          <cell r="W187">
            <v>0</v>
          </cell>
          <cell r="X187">
            <v>0</v>
          </cell>
          <cell r="Y187">
            <v>-4.0362954139709473E-2</v>
          </cell>
        </row>
        <row r="188">
          <cell r="G188">
            <v>0.71995086544568787</v>
          </cell>
          <cell r="H188">
            <v>0</v>
          </cell>
          <cell r="I188">
            <v>0</v>
          </cell>
          <cell r="M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8.656336460262537E-3</v>
          </cell>
          <cell r="V188">
            <v>0</v>
          </cell>
          <cell r="Y188">
            <v>0.43562465906143188</v>
          </cell>
        </row>
        <row r="189">
          <cell r="G189">
            <v>0</v>
          </cell>
          <cell r="H189">
            <v>0</v>
          </cell>
          <cell r="I189">
            <v>0</v>
          </cell>
          <cell r="M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 t="str">
            <v>PFI Ok</v>
          </cell>
          <cell r="Y189">
            <v>0</v>
          </cell>
        </row>
        <row r="190">
          <cell r="D190">
            <v>4998</v>
          </cell>
          <cell r="E190" t="str">
            <v>Astrea 3-16 Academy - Pri</v>
          </cell>
          <cell r="F190">
            <v>35</v>
          </cell>
          <cell r="G190">
            <v>99531.92397965859</v>
          </cell>
          <cell r="H190">
            <v>9173.7948005590933</v>
          </cell>
          <cell r="I190">
            <v>0</v>
          </cell>
          <cell r="J190">
            <v>10217.266869649584</v>
          </cell>
          <cell r="K190">
            <v>0</v>
          </cell>
          <cell r="L190">
            <v>5533.0308929326911</v>
          </cell>
          <cell r="M190">
            <v>124456.01654279995</v>
          </cell>
          <cell r="N190">
            <v>43750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W190">
            <v>0</v>
          </cell>
          <cell r="X190">
            <v>5833.4285714285716</v>
          </cell>
          <cell r="Y190">
            <v>174039.44511422853</v>
          </cell>
        </row>
        <row r="191">
          <cell r="D191">
            <v>4998</v>
          </cell>
          <cell r="E191" t="str">
            <v>Astrea 3-16 Academy - Sec</v>
          </cell>
          <cell r="F191">
            <v>87.5</v>
          </cell>
          <cell r="G191">
            <v>304111.94219186279</v>
          </cell>
          <cell r="H191">
            <v>28777.865330158027</v>
          </cell>
          <cell r="I191">
            <v>0</v>
          </cell>
          <cell r="J191">
            <v>27729.761669967778</v>
          </cell>
          <cell r="K191">
            <v>47745.165371455078</v>
          </cell>
          <cell r="L191">
            <v>7352.6177532917663</v>
          </cell>
          <cell r="M191">
            <v>415717.35231673549</v>
          </cell>
          <cell r="N191">
            <v>43750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14583.571428571429</v>
          </cell>
          <cell r="Y191">
            <v>474050.92374530697</v>
          </cell>
        </row>
        <row r="192">
          <cell r="F192">
            <v>122.5</v>
          </cell>
          <cell r="G192">
            <v>403643.86617152137</v>
          </cell>
          <cell r="H192">
            <v>37951.660130717122</v>
          </cell>
          <cell r="I192">
            <v>0</v>
          </cell>
          <cell r="J192">
            <v>37947.028539617364</v>
          </cell>
          <cell r="K192">
            <v>47745.165371455078</v>
          </cell>
          <cell r="L192">
            <v>12885.648646224457</v>
          </cell>
          <cell r="M192">
            <v>540173.36885953532</v>
          </cell>
          <cell r="N192">
            <v>87500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</v>
          </cell>
          <cell r="X192">
            <v>20417</v>
          </cell>
          <cell r="Y192">
            <v>648090.36885953532</v>
          </cell>
        </row>
        <row r="193">
          <cell r="H193">
            <v>0</v>
          </cell>
          <cell r="I193">
            <v>0</v>
          </cell>
          <cell r="M193">
            <v>0</v>
          </cell>
          <cell r="R193">
            <v>0</v>
          </cell>
          <cell r="S193">
            <v>0</v>
          </cell>
          <cell r="Y193">
            <v>0</v>
          </cell>
        </row>
        <row r="194">
          <cell r="D194">
            <v>4225</v>
          </cell>
          <cell r="E194" t="str">
            <v>Hinde House 3-16 - Pri</v>
          </cell>
          <cell r="F194">
            <v>424</v>
          </cell>
          <cell r="G194">
            <v>1205758.1647821497</v>
          </cell>
          <cell r="H194">
            <v>83093.106949986701</v>
          </cell>
          <cell r="I194">
            <v>0</v>
          </cell>
          <cell r="J194">
            <v>121485.75229428121</v>
          </cell>
          <cell r="K194">
            <v>181096.11782752132</v>
          </cell>
          <cell r="L194">
            <v>27079.343641580541</v>
          </cell>
          <cell r="M194">
            <v>1618512.4854955196</v>
          </cell>
          <cell r="N194">
            <v>75000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17639.055657066812</v>
          </cell>
          <cell r="V194">
            <v>164918.33192498135</v>
          </cell>
          <cell r="W194">
            <v>52340.723051864356</v>
          </cell>
          <cell r="X194">
            <v>7986.5999999999995</v>
          </cell>
          <cell r="Y194">
            <v>1936397.1961294322</v>
          </cell>
        </row>
        <row r="195">
          <cell r="D195">
            <v>4225</v>
          </cell>
          <cell r="E195" t="str">
            <v>Hinde House 3-16 Sec</v>
          </cell>
          <cell r="F195">
            <v>835</v>
          </cell>
          <cell r="G195">
            <v>3145035.0143608237</v>
          </cell>
          <cell r="H195">
            <v>220172.97623874052</v>
          </cell>
          <cell r="I195">
            <v>0</v>
          </cell>
          <cell r="J195">
            <v>237831.17848525394</v>
          </cell>
          <cell r="K195">
            <v>570942.62375650997</v>
          </cell>
          <cell r="L195">
            <v>71175.040965496708</v>
          </cell>
          <cell r="M195">
            <v>4245156.8338068249</v>
          </cell>
          <cell r="N195">
            <v>75000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34737.291211440541</v>
          </cell>
          <cell r="V195">
            <v>467798.92204026494</v>
          </cell>
          <cell r="W195">
            <v>103076.6597837423</v>
          </cell>
          <cell r="X195">
            <v>35003</v>
          </cell>
          <cell r="Y195">
            <v>4960772.7068422725</v>
          </cell>
        </row>
        <row r="196">
          <cell r="F196">
            <v>1259</v>
          </cell>
          <cell r="G196">
            <v>4350793.1791429734</v>
          </cell>
          <cell r="H196">
            <v>303266.08318872721</v>
          </cell>
          <cell r="I196">
            <v>0</v>
          </cell>
          <cell r="J196">
            <v>359316.93077953515</v>
          </cell>
          <cell r="K196">
            <v>752038.74158403126</v>
          </cell>
          <cell r="L196">
            <v>98254.384607077256</v>
          </cell>
          <cell r="M196">
            <v>5863669.3193023447</v>
          </cell>
          <cell r="N196">
            <v>150000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U196">
            <v>52376.346868507353</v>
          </cell>
          <cell r="V196">
            <v>632717.25396524626</v>
          </cell>
          <cell r="W196">
            <v>155417.38283560667</v>
          </cell>
          <cell r="X196">
            <v>42989.599999999999</v>
          </cell>
          <cell r="Y196">
            <v>6897169.9029717036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D198">
            <v>4005</v>
          </cell>
          <cell r="E198" t="str">
            <v>Oasis Academy Don Valley</v>
          </cell>
          <cell r="F198">
            <v>246.25</v>
          </cell>
          <cell r="G198">
            <v>700278.17942831223</v>
          </cell>
          <cell r="H198">
            <v>51584.061142271137</v>
          </cell>
          <cell r="I198">
            <v>0</v>
          </cell>
          <cell r="J198">
            <v>68332.327754502359</v>
          </cell>
          <cell r="K198">
            <v>77619.703786504848</v>
          </cell>
          <cell r="L198">
            <v>29983.905270697887</v>
          </cell>
          <cell r="M198">
            <v>927798.1773822885</v>
          </cell>
          <cell r="N198">
            <v>75000</v>
          </cell>
          <cell r="O198">
            <v>11239.759014353565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20617.045231683907</v>
          </cell>
          <cell r="V198">
            <v>0</v>
          </cell>
          <cell r="W198">
            <v>16838.760921366164</v>
          </cell>
          <cell r="X198">
            <v>25869.715355805241</v>
          </cell>
          <cell r="Y198">
            <v>1077363.4579054976</v>
          </cell>
        </row>
        <row r="199">
          <cell r="D199">
            <v>4005</v>
          </cell>
          <cell r="E199" t="str">
            <v>Oasis Academy Don Valley</v>
          </cell>
          <cell r="F199">
            <v>87.5</v>
          </cell>
          <cell r="G199">
            <v>304111.94219186279</v>
          </cell>
          <cell r="H199">
            <v>23530.798589126654</v>
          </cell>
          <cell r="I199">
            <v>0</v>
          </cell>
          <cell r="J199">
            <v>32205.731063455176</v>
          </cell>
          <cell r="K199">
            <v>14878.879966724782</v>
          </cell>
          <cell r="L199">
            <v>28747.598492460394</v>
          </cell>
          <cell r="M199">
            <v>403474.9503036298</v>
          </cell>
          <cell r="N199">
            <v>75000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7325.8536356237228</v>
          </cell>
          <cell r="V199">
            <v>0</v>
          </cell>
          <cell r="W199">
            <v>33161.239078633836</v>
          </cell>
          <cell r="X199">
            <v>9192.2846441947568</v>
          </cell>
          <cell r="Y199">
            <v>528154.32766208216</v>
          </cell>
        </row>
        <row r="200">
          <cell r="F200">
            <v>333.75</v>
          </cell>
          <cell r="G200">
            <v>1004390.121620175</v>
          </cell>
          <cell r="H200">
            <v>75114.859731397795</v>
          </cell>
          <cell r="I200">
            <v>0</v>
          </cell>
          <cell r="J200">
            <v>100538.05881795753</v>
          </cell>
          <cell r="K200">
            <v>92498.583753229628</v>
          </cell>
          <cell r="L200">
            <v>58731.503763158282</v>
          </cell>
          <cell r="M200">
            <v>1331273.1276859182</v>
          </cell>
          <cell r="N200">
            <v>150000</v>
          </cell>
          <cell r="O200">
            <v>11239.759014353565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27942.898867307631</v>
          </cell>
          <cell r="V200">
            <v>0</v>
          </cell>
          <cell r="W200">
            <v>50000</v>
          </cell>
          <cell r="X200">
            <v>35062</v>
          </cell>
          <cell r="Y200">
            <v>1605517.7855675796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3">
          <cell r="F203" t="str">
            <v>AWPU Fund</v>
          </cell>
          <cell r="I203">
            <v>0</v>
          </cell>
          <cell r="J203">
            <v>0</v>
          </cell>
          <cell r="K203" t="str">
            <v>2018-19</v>
          </cell>
          <cell r="L203" t="str">
            <v>NOR</v>
          </cell>
          <cell r="Q203" t="str">
            <v>Min</v>
          </cell>
          <cell r="R203" t="str">
            <v>Min</v>
          </cell>
          <cell r="S203">
            <v>-72.352245750915458</v>
          </cell>
          <cell r="U203">
            <v>4105.7646330482767</v>
          </cell>
          <cell r="X203" t="str">
            <v>Pri</v>
          </cell>
          <cell r="Y203">
            <v>177167894.03238291</v>
          </cell>
        </row>
        <row r="204">
          <cell r="F204">
            <v>126179937.75981253</v>
          </cell>
          <cell r="G204">
            <v>126179937.75981247</v>
          </cell>
          <cell r="H204">
            <v>0</v>
          </cell>
          <cell r="I204">
            <v>2.650716693492261E-3</v>
          </cell>
          <cell r="J204">
            <v>0.62207682961024402</v>
          </cell>
          <cell r="K204" t="str">
            <v>Primary</v>
          </cell>
          <cell r="L204">
            <v>44370.666666666672</v>
          </cell>
          <cell r="Q204" t="str">
            <v>Max</v>
          </cell>
          <cell r="R204" t="str">
            <v>Max</v>
          </cell>
          <cell r="S204">
            <v>-79917.23173265584</v>
          </cell>
          <cell r="T204" t="e">
            <v>#REF!</v>
          </cell>
          <cell r="U204">
            <v>181391.43108702404</v>
          </cell>
          <cell r="X204" t="str">
            <v>Pri 3-16</v>
          </cell>
          <cell r="Y204">
            <v>3187800.0991491582</v>
          </cell>
        </row>
        <row r="205">
          <cell r="F205">
            <v>101484200.6643565</v>
          </cell>
          <cell r="G205">
            <v>101484200.66435653</v>
          </cell>
          <cell r="H205">
            <v>0</v>
          </cell>
          <cell r="I205">
            <v>-2.6507166934923165E-3</v>
          </cell>
          <cell r="J205">
            <v>0.37792317038975604</v>
          </cell>
          <cell r="K205" t="str">
            <v>Secondary</v>
          </cell>
          <cell r="L205">
            <v>26956</v>
          </cell>
          <cell r="Q205" t="str">
            <v>Min</v>
          </cell>
          <cell r="R205" t="str">
            <v>Min</v>
          </cell>
          <cell r="S205">
            <v>-10910.406221915842</v>
          </cell>
          <cell r="U205">
            <v>10860.199327701615</v>
          </cell>
          <cell r="Y205">
            <v>180355694.13153207</v>
          </cell>
        </row>
        <row r="206">
          <cell r="F206">
            <v>227664138.42416903</v>
          </cell>
          <cell r="G206">
            <v>227664138.424169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71326.666666666672</v>
          </cell>
          <cell r="M206">
            <v>0</v>
          </cell>
          <cell r="Q206" t="str">
            <v>Max</v>
          </cell>
          <cell r="R206" t="str">
            <v>Max</v>
          </cell>
          <cell r="S206">
            <v>-53469.301316842721</v>
          </cell>
          <cell r="U206">
            <v>148148.61841798446</v>
          </cell>
          <cell r="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str">
            <v>2017-18</v>
          </cell>
          <cell r="L207">
            <v>0</v>
          </cell>
          <cell r="X207" t="str">
            <v>Sec</v>
          </cell>
          <cell r="Y207">
            <v>129903099.46985543</v>
          </cell>
        </row>
        <row r="208">
          <cell r="I208">
            <v>0</v>
          </cell>
          <cell r="J208">
            <v>0.62472754630373628</v>
          </cell>
          <cell r="K208" t="str">
            <v>Primary</v>
          </cell>
          <cell r="L208">
            <v>43733.583333333328</v>
          </cell>
          <cell r="S208">
            <v>-12479.116080135533</v>
          </cell>
          <cell r="X208" t="str">
            <v>Sec 3-16</v>
          </cell>
          <cell r="Y208">
            <v>5962977.9582496621</v>
          </cell>
        </row>
        <row r="209">
          <cell r="I209">
            <v>0</v>
          </cell>
          <cell r="J209">
            <v>0.37527245369626372</v>
          </cell>
          <cell r="K209" t="str">
            <v>Secondary</v>
          </cell>
          <cell r="L209">
            <v>26270.666666666668</v>
          </cell>
          <cell r="Y209">
            <v>135866077.42810509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70004.25</v>
          </cell>
          <cell r="Y210">
            <v>0</v>
          </cell>
        </row>
        <row r="211">
          <cell r="X211" t="str">
            <v>Total</v>
          </cell>
          <cell r="Y211">
            <v>316221771.55963719</v>
          </cell>
        </row>
        <row r="212">
          <cell r="Y212">
            <v>0.44036281108856201</v>
          </cell>
        </row>
        <row r="214">
          <cell r="D214">
            <v>0</v>
          </cell>
          <cell r="E214" t="str">
            <v>2018-19</v>
          </cell>
          <cell r="F214">
            <v>71326.666666666672</v>
          </cell>
          <cell r="G214">
            <v>227664138.424169</v>
          </cell>
          <cell r="H214">
            <v>10655103.202351248</v>
          </cell>
          <cell r="I214">
            <v>0</v>
          </cell>
          <cell r="J214">
            <v>10790586.285938028</v>
          </cell>
          <cell r="K214">
            <v>28263420.49259926</v>
          </cell>
          <cell r="L214">
            <v>2822898.067388623</v>
          </cell>
          <cell r="M214">
            <v>280196146.47244614</v>
          </cell>
          <cell r="N214">
            <v>24475000</v>
          </cell>
          <cell r="O214">
            <v>178642.75114081692</v>
          </cell>
          <cell r="P214">
            <v>0</v>
          </cell>
          <cell r="Q214">
            <v>0</v>
          </cell>
          <cell r="R214">
            <v>0</v>
          </cell>
          <cell r="S214">
            <v>-1876646.1194104666</v>
          </cell>
          <cell r="T214">
            <v>0</v>
          </cell>
          <cell r="U214">
            <v>1886673.4449556647</v>
          </cell>
          <cell r="V214">
            <v>6349675.5832521357</v>
          </cell>
          <cell r="W214">
            <v>614156.61393029708</v>
          </cell>
          <cell r="X214">
            <v>3486536</v>
          </cell>
          <cell r="Y214">
            <v>316221772</v>
          </cell>
        </row>
        <row r="215">
          <cell r="D215">
            <v>0</v>
          </cell>
          <cell r="E215" t="str">
            <v>2017-18</v>
          </cell>
          <cell r="F215">
            <v>70322.25</v>
          </cell>
          <cell r="G215">
            <v>219050632.65638459</v>
          </cell>
          <cell r="H215">
            <v>10655103.202351248</v>
          </cell>
          <cell r="I215">
            <v>0</v>
          </cell>
          <cell r="J215">
            <v>10790586.285938026</v>
          </cell>
          <cell r="K215">
            <v>28263420.49259926</v>
          </cell>
          <cell r="L215">
            <v>2822898.067388623</v>
          </cell>
          <cell r="M215">
            <v>271582640.70466173</v>
          </cell>
          <cell r="N215">
            <v>24300000</v>
          </cell>
          <cell r="O215">
            <v>186934.25823066558</v>
          </cell>
          <cell r="P215">
            <v>0</v>
          </cell>
          <cell r="Q215">
            <v>0</v>
          </cell>
          <cell r="R215">
            <v>0</v>
          </cell>
          <cell r="S215">
            <v>-1691813.8310218889</v>
          </cell>
          <cell r="T215">
            <v>0</v>
          </cell>
          <cell r="U215">
            <v>1720713.2867994744</v>
          </cell>
          <cell r="V215">
            <v>5876699.2180484664</v>
          </cell>
          <cell r="W215">
            <v>588904.45368233335</v>
          </cell>
          <cell r="X215">
            <v>3436319</v>
          </cell>
          <cell r="Y215">
            <v>306000397.09040082</v>
          </cell>
        </row>
        <row r="216">
          <cell r="D216">
            <v>0</v>
          </cell>
          <cell r="E216" t="str">
            <v>£ Var</v>
          </cell>
          <cell r="F216">
            <v>1004.4166666666715</v>
          </cell>
          <cell r="G216">
            <v>8613505.7677844167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8613505.7677844167</v>
          </cell>
          <cell r="N216">
            <v>175000</v>
          </cell>
          <cell r="O216">
            <v>-8291.5070898486592</v>
          </cell>
          <cell r="P216">
            <v>0</v>
          </cell>
          <cell r="Q216">
            <v>0</v>
          </cell>
          <cell r="R216">
            <v>0</v>
          </cell>
          <cell r="S216">
            <v>-184832.28838857776</v>
          </cell>
          <cell r="T216">
            <v>0</v>
          </cell>
          <cell r="U216">
            <v>165960.1581561903</v>
          </cell>
          <cell r="V216">
            <v>472976.36520366929</v>
          </cell>
          <cell r="W216">
            <v>25252.160247963737</v>
          </cell>
          <cell r="X216">
            <v>50217</v>
          </cell>
          <cell r="Y216">
            <v>10221374.909599185</v>
          </cell>
        </row>
        <row r="217">
          <cell r="D217">
            <v>0</v>
          </cell>
          <cell r="E217" t="str">
            <v>% Var</v>
          </cell>
          <cell r="F217">
            <v>1.4283056453208928E-2</v>
          </cell>
          <cell r="G217">
            <v>3.9321985347999688E-2</v>
          </cell>
          <cell r="H217">
            <v>0</v>
          </cell>
          <cell r="I217" t="e">
            <v>#DIV/0!</v>
          </cell>
          <cell r="J217">
            <v>0</v>
          </cell>
          <cell r="K217">
            <v>0</v>
          </cell>
          <cell r="L217">
            <v>0</v>
          </cell>
          <cell r="M217">
            <v>3.1715965885873228E-2</v>
          </cell>
          <cell r="N217">
            <v>7.2016460905349796E-3</v>
          </cell>
          <cell r="O217">
            <v>-4.435520363323367E-2</v>
          </cell>
          <cell r="P217">
            <v>0</v>
          </cell>
          <cell r="Q217">
            <v>0</v>
          </cell>
          <cell r="R217">
            <v>0</v>
          </cell>
          <cell r="S217">
            <v>0.10925096189628347</v>
          </cell>
          <cell r="T217">
            <v>0</v>
          </cell>
          <cell r="U217">
            <v>9.6448466708173142E-2</v>
          </cell>
          <cell r="V217">
            <v>8.0483337270532487E-2</v>
          </cell>
          <cell r="W217">
            <v>4.287989348707702E-2</v>
          </cell>
          <cell r="X217">
            <v>1.4613602520604169E-2</v>
          </cell>
          <cell r="Y217">
            <v>3.3403142632457153E-2</v>
          </cell>
        </row>
        <row r="218"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D220">
            <v>0</v>
          </cell>
          <cell r="E220" t="str">
            <v>Primary Maintained</v>
          </cell>
          <cell r="F220">
            <v>25845</v>
          </cell>
          <cell r="G220">
            <v>73497216.435836434</v>
          </cell>
          <cell r="H220">
            <v>2870368.2864803406</v>
          </cell>
          <cell r="I220">
            <v>0</v>
          </cell>
          <cell r="J220">
            <v>2532856.7497890978</v>
          </cell>
          <cell r="K220">
            <v>8906318.7540318053</v>
          </cell>
          <cell r="L220">
            <v>944612.581445597</v>
          </cell>
          <cell r="M220">
            <v>88751372.807583317</v>
          </cell>
          <cell r="N220">
            <v>12000000</v>
          </cell>
          <cell r="O220">
            <v>47462.508892014346</v>
          </cell>
          <cell r="P220">
            <v>0</v>
          </cell>
          <cell r="Q220">
            <v>0</v>
          </cell>
          <cell r="R220">
            <v>-1113172.5542032849</v>
          </cell>
          <cell r="S220">
            <v>-1113172.5542032849</v>
          </cell>
          <cell r="T220">
            <v>588705.60414173792</v>
          </cell>
          <cell r="U220">
            <v>588705.60414173792</v>
          </cell>
          <cell r="V220">
            <v>451345.42515503831</v>
          </cell>
          <cell r="W220">
            <v>54111.264956140352</v>
          </cell>
          <cell r="X220">
            <v>1672324</v>
          </cell>
          <cell r="Y220">
            <v>102452149.05652493</v>
          </cell>
        </row>
        <row r="221">
          <cell r="D221">
            <v>0</v>
          </cell>
          <cell r="E221" t="str">
            <v>Primary Academies</v>
          </cell>
          <cell r="F221">
            <v>18525.666666666664</v>
          </cell>
          <cell r="G221">
            <v>52682721.32397604</v>
          </cell>
          <cell r="H221">
            <v>3226915.6409183638</v>
          </cell>
          <cell r="I221">
            <v>0</v>
          </cell>
          <cell r="J221">
            <v>3602734.0848971619</v>
          </cell>
          <cell r="K221">
            <v>8247640.2802298563</v>
          </cell>
          <cell r="L221">
            <v>1134698.0575800294</v>
          </cell>
          <cell r="M221">
            <v>68894709.38760145</v>
          </cell>
          <cell r="N221">
            <v>8293750</v>
          </cell>
          <cell r="O221">
            <v>122518.49160913877</v>
          </cell>
          <cell r="P221">
            <v>0</v>
          </cell>
          <cell r="Q221">
            <v>0</v>
          </cell>
          <cell r="R221">
            <v>-646361.76376369991</v>
          </cell>
          <cell r="S221">
            <v>-646361.76376369991</v>
          </cell>
          <cell r="T221">
            <v>607370.58884603879</v>
          </cell>
          <cell r="U221">
            <v>645626.68973478954</v>
          </cell>
          <cell r="V221">
            <v>164918.33192498135</v>
          </cell>
          <cell r="W221">
            <v>110844.19397323052</v>
          </cell>
          <cell r="X221">
            <v>317539.74392723379</v>
          </cell>
          <cell r="Y221">
            <v>77903545.075007111</v>
          </cell>
        </row>
        <row r="222">
          <cell r="D222">
            <v>0</v>
          </cell>
          <cell r="E222" t="str">
            <v>Primary Total</v>
          </cell>
          <cell r="F222">
            <v>44370.666666666664</v>
          </cell>
          <cell r="G222">
            <v>126179937.75981247</v>
          </cell>
          <cell r="H222">
            <v>6097283.927398704</v>
          </cell>
          <cell r="I222">
            <v>0</v>
          </cell>
          <cell r="J222">
            <v>6135590.8346862597</v>
          </cell>
          <cell r="K222">
            <v>17153959.034261663</v>
          </cell>
          <cell r="L222">
            <v>2079310.6390256262</v>
          </cell>
          <cell r="M222">
            <v>157646082.19518477</v>
          </cell>
          <cell r="N222">
            <v>20293750</v>
          </cell>
          <cell r="O222">
            <v>169981.00050115312</v>
          </cell>
          <cell r="P222">
            <v>0</v>
          </cell>
          <cell r="Q222">
            <v>0</v>
          </cell>
          <cell r="R222">
            <v>-1759534.3179669848</v>
          </cell>
          <cell r="S222">
            <v>-1759534.3179669848</v>
          </cell>
          <cell r="T222">
            <v>1196076.1929877768</v>
          </cell>
          <cell r="U222">
            <v>1234332.2938765273</v>
          </cell>
          <cell r="V222">
            <v>616263.75708001968</v>
          </cell>
          <cell r="W222">
            <v>164955.45892937086</v>
          </cell>
          <cell r="X222">
            <v>1989863.7439272339</v>
          </cell>
          <cell r="Y222">
            <v>180355694.13153204</v>
          </cell>
        </row>
        <row r="223">
          <cell r="D223">
            <v>0</v>
          </cell>
          <cell r="F223">
            <v>-7.2759576141834259E-12</v>
          </cell>
          <cell r="G223">
            <v>-4.8894435167312622E-9</v>
          </cell>
          <cell r="H223">
            <v>-5.3114490583539009E-10</v>
          </cell>
          <cell r="I223">
            <v>0</v>
          </cell>
          <cell r="J223">
            <v>7.5669959187507629E-10</v>
          </cell>
          <cell r="K223">
            <v>4.5838532969355583E-9</v>
          </cell>
          <cell r="L223">
            <v>-7.021299097687006E-10</v>
          </cell>
          <cell r="M223">
            <v>7.1711838245391846E-8</v>
          </cell>
          <cell r="N223">
            <v>0</v>
          </cell>
          <cell r="O223">
            <v>-3.092281986027956E-11</v>
          </cell>
          <cell r="P223">
            <v>0</v>
          </cell>
          <cell r="Q223">
            <v>0</v>
          </cell>
          <cell r="R223">
            <v>-2.3283064365386963E-10</v>
          </cell>
          <cell r="S223">
            <v>-2.3283064365386963E-10</v>
          </cell>
          <cell r="T223">
            <v>2.3283064365386963E-10</v>
          </cell>
          <cell r="U223">
            <v>2.9103830456733704E-11</v>
          </cell>
          <cell r="V223">
            <v>2.9103830456733704E-11</v>
          </cell>
          <cell r="W223">
            <v>0</v>
          </cell>
          <cell r="X223">
            <v>4.0017766878008842E-11</v>
          </cell>
          <cell r="Y223">
            <v>-2.0721927285194397E-8</v>
          </cell>
        </row>
        <row r="224">
          <cell r="D224">
            <v>0</v>
          </cell>
        </row>
        <row r="225">
          <cell r="D225">
            <v>0</v>
          </cell>
          <cell r="E225" t="str">
            <v>Secondary Maintained</v>
          </cell>
          <cell r="F225">
            <v>3510</v>
          </cell>
          <cell r="G225">
            <v>13276843.198212832</v>
          </cell>
          <cell r="H225">
            <v>380609.09845921735</v>
          </cell>
          <cell r="I225">
            <v>0</v>
          </cell>
          <cell r="J225">
            <v>306342.91890164377</v>
          </cell>
          <cell r="K225">
            <v>1137592.3729455657</v>
          </cell>
          <cell r="L225">
            <v>64495.526941374868</v>
          </cell>
          <cell r="M225">
            <v>15165883.115460634</v>
          </cell>
          <cell r="N225">
            <v>450000</v>
          </cell>
          <cell r="O225">
            <v>0</v>
          </cell>
          <cell r="P225">
            <v>370115.52568410721</v>
          </cell>
          <cell r="Q225">
            <v>370115.52568410721</v>
          </cell>
          <cell r="R225">
            <v>-53469.301316842721</v>
          </cell>
          <cell r="S225">
            <v>-53469.301316842721</v>
          </cell>
          <cell r="T225">
            <v>0</v>
          </cell>
          <cell r="U225">
            <v>0</v>
          </cell>
          <cell r="V225">
            <v>878528.58200169913</v>
          </cell>
          <cell r="W225">
            <v>312963.25613855</v>
          </cell>
          <cell r="X225">
            <v>562445</v>
          </cell>
          <cell r="Y225">
            <v>17686466.177968148</v>
          </cell>
        </row>
        <row r="226">
          <cell r="D226">
            <v>0</v>
          </cell>
          <cell r="E226" t="str">
            <v>Secondary Academies</v>
          </cell>
          <cell r="F226">
            <v>23446</v>
          </cell>
          <cell r="G226">
            <v>88207357.466143683</v>
          </cell>
          <cell r="H226">
            <v>4177210.1764933257</v>
          </cell>
          <cell r="I226">
            <v>0</v>
          </cell>
          <cell r="J226">
            <v>4348652.5323501257</v>
          </cell>
          <cell r="K226">
            <v>9971869.0853920355</v>
          </cell>
          <cell r="L226">
            <v>679091.90142162098</v>
          </cell>
          <cell r="M226">
            <v>107384181.1618008</v>
          </cell>
          <cell r="N226">
            <v>3731250</v>
          </cell>
          <cell r="O226">
            <v>8661.7506396637764</v>
          </cell>
          <cell r="P226">
            <v>541471.68763834145</v>
          </cell>
          <cell r="Q226">
            <v>541471.68763834145</v>
          </cell>
          <cell r="R226">
            <v>-63642.500126639286</v>
          </cell>
          <cell r="S226">
            <v>-63642.500126639286</v>
          </cell>
          <cell r="T226">
            <v>610278.00623207318</v>
          </cell>
          <cell r="U226">
            <v>652341.15107913746</v>
          </cell>
          <cell r="V226">
            <v>4854883.2441704171</v>
          </cell>
          <cell r="W226">
            <v>136237.89886237614</v>
          </cell>
          <cell r="X226">
            <v>934226.85607276624</v>
          </cell>
          <cell r="Y226">
            <v>118179611.25013687</v>
          </cell>
        </row>
        <row r="227">
          <cell r="D227">
            <v>0</v>
          </cell>
          <cell r="E227" t="str">
            <v>Secondary Total</v>
          </cell>
          <cell r="F227">
            <v>26956</v>
          </cell>
          <cell r="G227">
            <v>101484200.66435651</v>
          </cell>
          <cell r="H227">
            <v>4557819.274952543</v>
          </cell>
          <cell r="I227">
            <v>0</v>
          </cell>
          <cell r="J227">
            <v>4654995.4512517694</v>
          </cell>
          <cell r="K227">
            <v>11109461.458337601</v>
          </cell>
          <cell r="L227">
            <v>743587.42836299585</v>
          </cell>
          <cell r="M227">
            <v>122550064.27726144</v>
          </cell>
          <cell r="N227">
            <v>4181250</v>
          </cell>
          <cell r="O227">
            <v>8661.7506396637764</v>
          </cell>
          <cell r="P227">
            <v>911587.21332244866</v>
          </cell>
          <cell r="Q227">
            <v>911587.21332244866</v>
          </cell>
          <cell r="R227">
            <v>-117111.80144348201</v>
          </cell>
          <cell r="S227">
            <v>-117111.80144348201</v>
          </cell>
          <cell r="T227">
            <v>610278.00623207318</v>
          </cell>
          <cell r="U227">
            <v>652341.15107913746</v>
          </cell>
          <cell r="V227">
            <v>5733411.8261721162</v>
          </cell>
          <cell r="W227">
            <v>449201.15500092611</v>
          </cell>
          <cell r="X227">
            <v>1496671.8560727662</v>
          </cell>
          <cell r="Y227">
            <v>135866077.42810503</v>
          </cell>
        </row>
        <row r="228">
          <cell r="D228">
            <v>0</v>
          </cell>
          <cell r="F228">
            <v>0</v>
          </cell>
          <cell r="G228">
            <v>3.8999132812023163E-9</v>
          </cell>
          <cell r="H228">
            <v>-5.9299054555594921E-10</v>
          </cell>
          <cell r="I228">
            <v>0</v>
          </cell>
          <cell r="J228">
            <v>5.1659299060702324E-10</v>
          </cell>
          <cell r="K228">
            <v>-5.8389559853821993E-10</v>
          </cell>
          <cell r="L228">
            <v>-1.2732925824820995E-10</v>
          </cell>
          <cell r="M228">
            <v>3.8999132812023163E-9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1.546140993013978E-11</v>
          </cell>
          <cell r="V228">
            <v>1.1641532182693481E-10</v>
          </cell>
          <cell r="W228">
            <v>0</v>
          </cell>
          <cell r="X228">
            <v>5.6388671509921551E-11</v>
          </cell>
          <cell r="Y228">
            <v>-6.3097104430198669E-8</v>
          </cell>
        </row>
        <row r="229">
          <cell r="D229">
            <v>0</v>
          </cell>
        </row>
        <row r="230">
          <cell r="D230">
            <v>0</v>
          </cell>
          <cell r="E230" t="str">
            <v>Total Maintained</v>
          </cell>
          <cell r="F230">
            <v>29355</v>
          </cell>
          <cell r="G230">
            <v>86774059.634049267</v>
          </cell>
          <cell r="H230">
            <v>3250977.3849395579</v>
          </cell>
          <cell r="I230">
            <v>0</v>
          </cell>
          <cell r="J230">
            <v>2839199.6686907415</v>
          </cell>
          <cell r="K230">
            <v>10043911.126977371</v>
          </cell>
          <cell r="L230">
            <v>1009108.1083869719</v>
          </cell>
          <cell r="M230">
            <v>103917255.92304395</v>
          </cell>
          <cell r="N230">
            <v>12450000</v>
          </cell>
          <cell r="O230">
            <v>47462.508892014346</v>
          </cell>
          <cell r="P230">
            <v>370115.52568410721</v>
          </cell>
          <cell r="Q230">
            <v>370115.52568410721</v>
          </cell>
          <cell r="R230">
            <v>-1166641.8555201276</v>
          </cell>
          <cell r="S230">
            <v>-1166641.8555201276</v>
          </cell>
          <cell r="T230">
            <v>588705.60414173792</v>
          </cell>
          <cell r="U230">
            <v>588705.60414173792</v>
          </cell>
          <cell r="V230">
            <v>1329874.0071567374</v>
          </cell>
          <cell r="W230">
            <v>367074.52109469037</v>
          </cell>
          <cell r="X230">
            <v>2234769</v>
          </cell>
          <cell r="Y230">
            <v>120138615.23449308</v>
          </cell>
        </row>
        <row r="231">
          <cell r="D231">
            <v>0</v>
          </cell>
          <cell r="E231" t="str">
            <v>Total Academies</v>
          </cell>
          <cell r="F231">
            <v>41971.666666666664</v>
          </cell>
          <cell r="G231">
            <v>140890078.79011971</v>
          </cell>
          <cell r="H231">
            <v>7404125.8174116891</v>
          </cell>
          <cell r="I231">
            <v>0</v>
          </cell>
          <cell r="J231">
            <v>7951386.6172472872</v>
          </cell>
          <cell r="K231">
            <v>18219509.365621891</v>
          </cell>
          <cell r="L231">
            <v>1813789.9590016503</v>
          </cell>
          <cell r="M231">
            <v>176278890.54940224</v>
          </cell>
          <cell r="N231">
            <v>12025000</v>
          </cell>
          <cell r="O231">
            <v>131180.24224880256</v>
          </cell>
          <cell r="P231">
            <v>541471.68763834145</v>
          </cell>
          <cell r="Q231">
            <v>541471.68763834145</v>
          </cell>
          <cell r="R231">
            <v>-710004.26389033918</v>
          </cell>
          <cell r="S231">
            <v>-710004.26389033918</v>
          </cell>
          <cell r="T231">
            <v>1217648.5950781121</v>
          </cell>
          <cell r="U231">
            <v>1297967.8408139269</v>
          </cell>
          <cell r="V231">
            <v>5019801.5760953985</v>
          </cell>
          <cell r="W231">
            <v>247082.09283560666</v>
          </cell>
          <cell r="X231">
            <v>1251766.6000000001</v>
          </cell>
          <cell r="Y231">
            <v>196083156.32514399</v>
          </cell>
        </row>
        <row r="232">
          <cell r="D232">
            <v>0</v>
          </cell>
          <cell r="E232" t="str">
            <v>Total All Schools</v>
          </cell>
          <cell r="F232">
            <v>71326.666666666657</v>
          </cell>
          <cell r="G232">
            <v>227664138.424169</v>
          </cell>
          <cell r="H232">
            <v>10655103.202351246</v>
          </cell>
          <cell r="I232">
            <v>0</v>
          </cell>
          <cell r="J232">
            <v>10790586.285938028</v>
          </cell>
          <cell r="K232">
            <v>28263420.492599264</v>
          </cell>
          <cell r="L232">
            <v>2822898.0673886221</v>
          </cell>
          <cell r="M232">
            <v>280196146.4724462</v>
          </cell>
          <cell r="N232">
            <v>24475000</v>
          </cell>
          <cell r="O232">
            <v>178642.75114081689</v>
          </cell>
          <cell r="P232">
            <v>911587.21332244866</v>
          </cell>
          <cell r="Q232">
            <v>911587.21332244866</v>
          </cell>
          <cell r="R232">
            <v>-1876646.1194104669</v>
          </cell>
          <cell r="S232">
            <v>-1876646.1194104669</v>
          </cell>
          <cell r="T232">
            <v>1806354.1992198499</v>
          </cell>
          <cell r="U232">
            <v>1886673.4449556647</v>
          </cell>
          <cell r="V232">
            <v>6349675.5832521357</v>
          </cell>
          <cell r="W232">
            <v>614156.61393029697</v>
          </cell>
          <cell r="X232">
            <v>3486535.6</v>
          </cell>
          <cell r="Y232">
            <v>316221771.55963707</v>
          </cell>
        </row>
        <row r="233"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-80319.245735814795</v>
          </cell>
          <cell r="U234">
            <v>0</v>
          </cell>
          <cell r="V234">
            <v>0</v>
          </cell>
          <cell r="W234">
            <v>0</v>
          </cell>
          <cell r="X234">
            <v>-0.39999999990686774</v>
          </cell>
          <cell r="Y234">
            <v>-0.44036293029785156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ities"/>
      <sheetName val="Schools List"/>
      <sheetName val="Schools Block Data"/>
      <sheetName val="Schools List (2)"/>
      <sheetName val="Growth New Sch"/>
      <sheetName val="DataSource (2)"/>
      <sheetName val="Oasis"/>
      <sheetName val="Mercia Data"/>
      <sheetName val="Astrea Data"/>
      <sheetName val="DataSource"/>
      <sheetName val="Pupils"/>
      <sheetName val="19 20 "/>
      <sheetName val="New Del"/>
      <sheetName val="Impact"/>
      <sheetName val="Add Deleg"/>
      <sheetName val="AWPU"/>
      <sheetName val="FSM"/>
      <sheetName val="IDACI"/>
      <sheetName val="Attain (2)"/>
      <sheetName val="Attain"/>
      <sheetName val="EAL"/>
      <sheetName val="Mobility"/>
      <sheetName val="Split Site"/>
      <sheetName val="1718 Uplifted Baseline"/>
      <sheetName val="Floor"/>
      <sheetName val="A4 Floor"/>
      <sheetName val="MFG NFF"/>
      <sheetName val="£pup rates"/>
      <sheetName val="Min Fund"/>
      <sheetName val="AWPU Fund"/>
      <sheetName val="Budget"/>
      <sheetName val="MFG-Gains A4"/>
      <sheetName val="MFG"/>
      <sheetName val="Budget Share"/>
      <sheetName val="Schls Forum"/>
      <sheetName val="A4 Sheet"/>
      <sheetName val="pro-forma check"/>
      <sheetName val="Multiplier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</row>
        <row r="5">
          <cell r="G5">
            <v>99.289999999999978</v>
          </cell>
          <cell r="H5">
            <v>29.169999999999998</v>
          </cell>
        </row>
        <row r="6">
          <cell r="C6" t="str">
            <v>DfE</v>
          </cell>
          <cell r="D6" t="str">
            <v>School_Name</v>
          </cell>
          <cell r="E6" t="str">
            <v xml:space="preserve">Academy Type </v>
          </cell>
          <cell r="F6" t="str">
            <v>Pupil Number Oct 18</v>
          </cell>
          <cell r="G6" t="str">
            <v>Additional Delegation £</v>
          </cell>
          <cell r="H6" t="str">
            <v>Centrally Retained £</v>
          </cell>
        </row>
        <row r="7">
          <cell r="F7">
            <v>3</v>
          </cell>
          <cell r="G7">
            <v>4</v>
          </cell>
          <cell r="H7">
            <v>5</v>
          </cell>
        </row>
        <row r="8">
          <cell r="C8">
            <v>2001</v>
          </cell>
          <cell r="D8" t="str">
            <v>Abbey Lane Primary School</v>
          </cell>
          <cell r="E8">
            <v>0</v>
          </cell>
          <cell r="F8">
            <v>573</v>
          </cell>
          <cell r="G8">
            <v>56893.169999999984</v>
          </cell>
          <cell r="H8">
            <v>16714.41</v>
          </cell>
        </row>
        <row r="9">
          <cell r="C9">
            <v>2046</v>
          </cell>
          <cell r="D9" t="str">
            <v>Abbeyfield Primary Academy (Firs Hill)</v>
          </cell>
          <cell r="E9" t="str">
            <v>Recoupment Academy</v>
          </cell>
          <cell r="F9">
            <v>426</v>
          </cell>
          <cell r="G9">
            <v>42297.539999999994</v>
          </cell>
          <cell r="H9">
            <v>12426.42</v>
          </cell>
        </row>
        <row r="10">
          <cell r="C10">
            <v>2048</v>
          </cell>
          <cell r="D10" t="str">
            <v>Acres Hill Community Primary School</v>
          </cell>
          <cell r="E10" t="str">
            <v>Recoupment Academy</v>
          </cell>
          <cell r="F10">
            <v>262</v>
          </cell>
          <cell r="G10">
            <v>26013.979999999996</v>
          </cell>
          <cell r="H10">
            <v>7642.54</v>
          </cell>
        </row>
        <row r="11">
          <cell r="C11">
            <v>2342</v>
          </cell>
          <cell r="D11" t="str">
            <v>Angram Bank Primary School</v>
          </cell>
          <cell r="E11">
            <v>0</v>
          </cell>
          <cell r="F11">
            <v>215</v>
          </cell>
          <cell r="G11">
            <v>21347.349999999995</v>
          </cell>
          <cell r="H11">
            <v>6271.5499999999993</v>
          </cell>
        </row>
        <row r="12">
          <cell r="C12">
            <v>2343</v>
          </cell>
          <cell r="D12" t="str">
            <v>Anns Grove Primary School</v>
          </cell>
          <cell r="E12">
            <v>0</v>
          </cell>
          <cell r="F12">
            <v>301</v>
          </cell>
          <cell r="G12">
            <v>29886.289999999994</v>
          </cell>
          <cell r="H12">
            <v>8780.17</v>
          </cell>
        </row>
        <row r="13">
          <cell r="C13">
            <v>3429</v>
          </cell>
          <cell r="D13" t="str">
            <v>Arbourthorne Community Primary School</v>
          </cell>
          <cell r="E13">
            <v>0</v>
          </cell>
          <cell r="F13">
            <v>405</v>
          </cell>
          <cell r="G13">
            <v>40212.44999999999</v>
          </cell>
          <cell r="H13">
            <v>11813.849999999999</v>
          </cell>
        </row>
        <row r="14">
          <cell r="C14">
            <v>2340</v>
          </cell>
          <cell r="D14" t="str">
            <v>Athelstan Primary School</v>
          </cell>
          <cell r="E14">
            <v>0</v>
          </cell>
          <cell r="F14">
            <v>603</v>
          </cell>
          <cell r="G14">
            <v>59871.869999999988</v>
          </cell>
          <cell r="H14">
            <v>17589.509999999998</v>
          </cell>
        </row>
        <row r="15">
          <cell r="C15">
            <v>2281</v>
          </cell>
          <cell r="D15" t="str">
            <v>Ballifield Primary School</v>
          </cell>
          <cell r="E15">
            <v>0</v>
          </cell>
          <cell r="F15">
            <v>419</v>
          </cell>
          <cell r="G15">
            <v>41602.509999999987</v>
          </cell>
          <cell r="H15">
            <v>12222.23</v>
          </cell>
        </row>
        <row r="16">
          <cell r="C16">
            <v>2322</v>
          </cell>
          <cell r="D16" t="str">
            <v>Bankwood Community Primary School</v>
          </cell>
          <cell r="E16">
            <v>0</v>
          </cell>
          <cell r="F16">
            <v>333</v>
          </cell>
          <cell r="G16">
            <v>33063.569999999992</v>
          </cell>
          <cell r="H16">
            <v>9713.6099999999988</v>
          </cell>
        </row>
        <row r="17">
          <cell r="C17">
            <v>2274</v>
          </cell>
          <cell r="D17" t="str">
            <v>Beck Primary School</v>
          </cell>
          <cell r="E17" t="str">
            <v>Recoupment Academy</v>
          </cell>
          <cell r="F17">
            <v>627</v>
          </cell>
          <cell r="G17">
            <v>62254.829999999987</v>
          </cell>
          <cell r="H17">
            <v>18289.59</v>
          </cell>
        </row>
        <row r="18">
          <cell r="C18">
            <v>2241</v>
          </cell>
          <cell r="D18" t="str">
            <v>Beighton Nursery Infant School</v>
          </cell>
          <cell r="E18">
            <v>0</v>
          </cell>
          <cell r="F18">
            <v>265</v>
          </cell>
          <cell r="G18">
            <v>26311.849999999995</v>
          </cell>
          <cell r="H18">
            <v>7730.0499999999993</v>
          </cell>
        </row>
        <row r="19">
          <cell r="C19">
            <v>2353</v>
          </cell>
          <cell r="D19" t="str">
            <v>Birley Primary Academy</v>
          </cell>
          <cell r="E19" t="str">
            <v>Recoupment Academy</v>
          </cell>
          <cell r="F19">
            <v>566</v>
          </cell>
          <cell r="G19">
            <v>56198.139999999985</v>
          </cell>
          <cell r="H19">
            <v>16510.219999999998</v>
          </cell>
        </row>
        <row r="20">
          <cell r="C20">
            <v>2323</v>
          </cell>
          <cell r="D20" t="str">
            <v>Birley Spa Primary Academy</v>
          </cell>
          <cell r="E20" t="str">
            <v>Recoupment Academy</v>
          </cell>
          <cell r="F20">
            <v>401</v>
          </cell>
          <cell r="G20">
            <v>39815.289999999994</v>
          </cell>
          <cell r="H20">
            <v>11697.17</v>
          </cell>
        </row>
        <row r="21">
          <cell r="C21">
            <v>2328</v>
          </cell>
          <cell r="D21" t="str">
            <v>Bradfield Dungworth Primary School</v>
          </cell>
          <cell r="E21">
            <v>0</v>
          </cell>
          <cell r="F21">
            <v>107</v>
          </cell>
          <cell r="G21">
            <v>10624.029999999997</v>
          </cell>
          <cell r="H21">
            <v>3121.1899999999996</v>
          </cell>
        </row>
        <row r="22">
          <cell r="C22">
            <v>2233</v>
          </cell>
          <cell r="D22" t="str">
            <v>Bradway Primary School</v>
          </cell>
          <cell r="E22">
            <v>0</v>
          </cell>
          <cell r="F22">
            <v>402</v>
          </cell>
          <cell r="G22">
            <v>39914.579999999994</v>
          </cell>
          <cell r="H22">
            <v>11726.34</v>
          </cell>
        </row>
        <row r="23">
          <cell r="C23">
            <v>2014</v>
          </cell>
          <cell r="D23" t="str">
            <v>Brightside Nursery and Infant School</v>
          </cell>
          <cell r="E23">
            <v>0</v>
          </cell>
          <cell r="F23">
            <v>180</v>
          </cell>
          <cell r="G23">
            <v>17872.199999999997</v>
          </cell>
          <cell r="H23">
            <v>5250.5999999999995</v>
          </cell>
        </row>
        <row r="24">
          <cell r="C24">
            <v>2246</v>
          </cell>
          <cell r="D24" t="str">
            <v>Brook House Junior School</v>
          </cell>
          <cell r="E24">
            <v>0</v>
          </cell>
          <cell r="F24">
            <v>343</v>
          </cell>
          <cell r="G24">
            <v>34056.469999999994</v>
          </cell>
          <cell r="H24">
            <v>10005.31</v>
          </cell>
        </row>
        <row r="25">
          <cell r="C25">
            <v>5204</v>
          </cell>
          <cell r="D25" t="str">
            <v>Broomhill Infant School</v>
          </cell>
          <cell r="E25">
            <v>0</v>
          </cell>
          <cell r="F25">
            <v>107</v>
          </cell>
          <cell r="G25">
            <v>10624.029999999997</v>
          </cell>
          <cell r="H25">
            <v>3121.1899999999996</v>
          </cell>
        </row>
        <row r="26">
          <cell r="C26">
            <v>2325</v>
          </cell>
          <cell r="D26" t="str">
            <v>Brunswick Community Primary School</v>
          </cell>
          <cell r="E26">
            <v>0</v>
          </cell>
          <cell r="F26">
            <v>418</v>
          </cell>
          <cell r="G26">
            <v>41503.219999999994</v>
          </cell>
          <cell r="H26">
            <v>12193.06</v>
          </cell>
        </row>
        <row r="27">
          <cell r="C27">
            <v>2095</v>
          </cell>
          <cell r="D27" t="str">
            <v>Byron Wood Primary Academy</v>
          </cell>
          <cell r="E27" t="str">
            <v>Recoupment Academy</v>
          </cell>
          <cell r="F27">
            <v>411</v>
          </cell>
          <cell r="G27">
            <v>40808.189999999988</v>
          </cell>
          <cell r="H27">
            <v>11988.869999999999</v>
          </cell>
        </row>
        <row r="28">
          <cell r="C28">
            <v>2344</v>
          </cell>
          <cell r="D28" t="str">
            <v>Carfield Primary School</v>
          </cell>
          <cell r="E28">
            <v>0</v>
          </cell>
          <cell r="F28">
            <v>577</v>
          </cell>
          <cell r="G28">
            <v>57290.329999999987</v>
          </cell>
          <cell r="H28">
            <v>16831.09</v>
          </cell>
        </row>
        <row r="29">
          <cell r="C29">
            <v>2023</v>
          </cell>
          <cell r="D29" t="str">
            <v>Carter Knowle Junior School</v>
          </cell>
          <cell r="E29">
            <v>0</v>
          </cell>
          <cell r="F29">
            <v>214</v>
          </cell>
          <cell r="G29">
            <v>21248.059999999994</v>
          </cell>
          <cell r="H29">
            <v>6242.3799999999992</v>
          </cell>
        </row>
        <row r="30">
          <cell r="C30">
            <v>2354</v>
          </cell>
          <cell r="D30" t="str">
            <v>Charnock Hall Primary Academy</v>
          </cell>
          <cell r="E30" t="str">
            <v>Recoupment Academy</v>
          </cell>
          <cell r="F30">
            <v>400</v>
          </cell>
          <cell r="G30">
            <v>39715.999999999993</v>
          </cell>
          <cell r="H30">
            <v>11668</v>
          </cell>
        </row>
        <row r="31">
          <cell r="C31">
            <v>5200</v>
          </cell>
          <cell r="D31" t="str">
            <v>Clifford CofE Infant School</v>
          </cell>
          <cell r="E31">
            <v>0</v>
          </cell>
          <cell r="F31">
            <v>106</v>
          </cell>
          <cell r="G31">
            <v>10524.739999999998</v>
          </cell>
          <cell r="H31">
            <v>3092.02</v>
          </cell>
        </row>
        <row r="32">
          <cell r="C32">
            <v>2312</v>
          </cell>
          <cell r="D32" t="str">
            <v>Coit Primary School</v>
          </cell>
          <cell r="E32">
            <v>0</v>
          </cell>
          <cell r="F32">
            <v>208</v>
          </cell>
          <cell r="G32">
            <v>20652.319999999996</v>
          </cell>
          <cell r="H32">
            <v>6067.36</v>
          </cell>
        </row>
        <row r="33">
          <cell r="C33">
            <v>2026</v>
          </cell>
          <cell r="D33" t="str">
            <v>Concord Junior School</v>
          </cell>
          <cell r="E33" t="str">
            <v>Recoupment Academy</v>
          </cell>
          <cell r="F33">
            <v>206</v>
          </cell>
          <cell r="G33">
            <v>20453.739999999994</v>
          </cell>
          <cell r="H33">
            <v>6009.0199999999995</v>
          </cell>
        </row>
        <row r="34">
          <cell r="C34">
            <v>3422</v>
          </cell>
          <cell r="D34" t="str">
            <v>Deepcar St John's Church of England Junior School</v>
          </cell>
          <cell r="E34">
            <v>0</v>
          </cell>
          <cell r="F34">
            <v>154</v>
          </cell>
          <cell r="G34">
            <v>15290.659999999996</v>
          </cell>
          <cell r="H34">
            <v>4492.1799999999994</v>
          </cell>
        </row>
        <row r="35">
          <cell r="C35">
            <v>2283</v>
          </cell>
          <cell r="D35" t="str">
            <v>Dobcroft Infant School</v>
          </cell>
          <cell r="E35">
            <v>0</v>
          </cell>
          <cell r="F35">
            <v>271</v>
          </cell>
          <cell r="G35">
            <v>26907.589999999993</v>
          </cell>
          <cell r="H35">
            <v>7905.07</v>
          </cell>
        </row>
        <row r="36">
          <cell r="C36">
            <v>2239</v>
          </cell>
          <cell r="D36" t="str">
            <v>Dobcroft Junior School</v>
          </cell>
          <cell r="E36">
            <v>0</v>
          </cell>
          <cell r="F36">
            <v>402</v>
          </cell>
          <cell r="G36">
            <v>39914.579999999994</v>
          </cell>
          <cell r="H36">
            <v>11726.34</v>
          </cell>
        </row>
        <row r="37">
          <cell r="C37">
            <v>2364</v>
          </cell>
          <cell r="D37" t="str">
            <v>Dore Primary School</v>
          </cell>
          <cell r="E37">
            <v>0</v>
          </cell>
          <cell r="F37">
            <v>466</v>
          </cell>
          <cell r="G37">
            <v>46269.139999999992</v>
          </cell>
          <cell r="H37">
            <v>13593.22</v>
          </cell>
        </row>
        <row r="39">
          <cell r="C39">
            <v>2206</v>
          </cell>
          <cell r="D39" t="str">
            <v>Ecclesall Infant Junior School</v>
          </cell>
          <cell r="E39">
            <v>0</v>
          </cell>
          <cell r="F39">
            <v>575</v>
          </cell>
          <cell r="G39">
            <v>57091.749999999985</v>
          </cell>
          <cell r="H39">
            <v>16772.75</v>
          </cell>
        </row>
        <row r="40">
          <cell r="C40">
            <v>2080</v>
          </cell>
          <cell r="D40" t="str">
            <v>Ecclesfield Primary School</v>
          </cell>
          <cell r="E40">
            <v>0</v>
          </cell>
          <cell r="F40">
            <v>409</v>
          </cell>
          <cell r="G40">
            <v>40609.609999999993</v>
          </cell>
          <cell r="H40">
            <v>11930.529999999999</v>
          </cell>
        </row>
        <row r="41">
          <cell r="C41">
            <v>2024</v>
          </cell>
          <cell r="D41" t="str">
            <v>Emmanuel Anglican/Methodist Junior School</v>
          </cell>
          <cell r="E41" t="str">
            <v>Recoupment Academy</v>
          </cell>
          <cell r="F41">
            <v>215</v>
          </cell>
          <cell r="G41">
            <v>21347.349999999995</v>
          </cell>
          <cell r="H41">
            <v>6271.5499999999993</v>
          </cell>
        </row>
        <row r="42">
          <cell r="C42">
            <v>2028</v>
          </cell>
          <cell r="D42" t="str">
            <v>Emmaus Catholic and CofE Primary School</v>
          </cell>
          <cell r="E42" t="str">
            <v>Recoupment Academy</v>
          </cell>
          <cell r="F42">
            <v>312</v>
          </cell>
          <cell r="G42">
            <v>30978.479999999992</v>
          </cell>
          <cell r="H42">
            <v>9101.0399999999991</v>
          </cell>
        </row>
        <row r="43">
          <cell r="C43">
            <v>2010</v>
          </cell>
          <cell r="D43" t="str">
            <v>Fox Hill Primary</v>
          </cell>
          <cell r="E43" t="str">
            <v>Recoupment Academy</v>
          </cell>
          <cell r="F43">
            <v>296</v>
          </cell>
          <cell r="G43">
            <v>29389.839999999993</v>
          </cell>
          <cell r="H43">
            <v>8634.32</v>
          </cell>
        </row>
        <row r="44">
          <cell r="C44">
            <v>2036</v>
          </cell>
          <cell r="D44" t="str">
            <v>Gleadless Primary School</v>
          </cell>
          <cell r="E44">
            <v>0</v>
          </cell>
          <cell r="F44">
            <v>418</v>
          </cell>
          <cell r="G44">
            <v>41503.219999999994</v>
          </cell>
          <cell r="H44">
            <v>12193.06</v>
          </cell>
        </row>
        <row r="45">
          <cell r="C45">
            <v>2305</v>
          </cell>
          <cell r="D45" t="str">
            <v>Greengate Lane Academy</v>
          </cell>
          <cell r="E45" t="str">
            <v>Recoupment Academy</v>
          </cell>
          <cell r="F45">
            <v>182</v>
          </cell>
          <cell r="G45">
            <v>18070.779999999995</v>
          </cell>
          <cell r="H45">
            <v>5308.94</v>
          </cell>
        </row>
        <row r="46">
          <cell r="C46">
            <v>2341</v>
          </cell>
          <cell r="D46" t="str">
            <v>Greenhill Primary School</v>
          </cell>
          <cell r="E46" t="str">
            <v>Recoupment Academy</v>
          </cell>
          <cell r="F46">
            <v>501</v>
          </cell>
          <cell r="G46">
            <v>49744.289999999986</v>
          </cell>
          <cell r="H46">
            <v>14614.169999999998</v>
          </cell>
        </row>
        <row r="47">
          <cell r="C47">
            <v>2296</v>
          </cell>
          <cell r="D47" t="str">
            <v>Grenoside Community Primary School</v>
          </cell>
          <cell r="E47">
            <v>0</v>
          </cell>
          <cell r="F47">
            <v>336</v>
          </cell>
          <cell r="G47">
            <v>33361.439999999995</v>
          </cell>
          <cell r="H47">
            <v>9801.119999999999</v>
          </cell>
        </row>
        <row r="48">
          <cell r="C48">
            <v>2356</v>
          </cell>
          <cell r="D48" t="str">
            <v>Greystones Primary School</v>
          </cell>
          <cell r="E48">
            <v>0</v>
          </cell>
          <cell r="F48">
            <v>595</v>
          </cell>
          <cell r="G48">
            <v>59077.549999999988</v>
          </cell>
          <cell r="H48">
            <v>17356.149999999998</v>
          </cell>
        </row>
        <row r="49">
          <cell r="C49">
            <v>2279</v>
          </cell>
          <cell r="D49" t="str">
            <v>Halfway Junior School</v>
          </cell>
          <cell r="E49">
            <v>0</v>
          </cell>
          <cell r="F49">
            <v>195</v>
          </cell>
          <cell r="G49">
            <v>19361.549999999996</v>
          </cell>
          <cell r="H49">
            <v>5688.15</v>
          </cell>
        </row>
        <row r="50">
          <cell r="C50">
            <v>2252</v>
          </cell>
          <cell r="D50" t="str">
            <v>Halfway Nursery Infant School</v>
          </cell>
          <cell r="E50">
            <v>0</v>
          </cell>
          <cell r="F50">
            <v>157</v>
          </cell>
          <cell r="G50">
            <v>15588.529999999997</v>
          </cell>
          <cell r="H50">
            <v>4579.6899999999996</v>
          </cell>
        </row>
        <row r="51">
          <cell r="C51">
            <v>2357</v>
          </cell>
          <cell r="D51" t="str">
            <v>Hallam Primary School</v>
          </cell>
          <cell r="E51" t="str">
            <v>Recoupment Academy</v>
          </cell>
          <cell r="F51">
            <v>626</v>
          </cell>
          <cell r="G51">
            <v>62155.539999999986</v>
          </cell>
          <cell r="H51">
            <v>18260.419999999998</v>
          </cell>
        </row>
        <row r="52">
          <cell r="C52">
            <v>2050</v>
          </cell>
          <cell r="D52" t="str">
            <v>Hartley Brook Primary School</v>
          </cell>
          <cell r="E52" t="str">
            <v>Recoupment Academy</v>
          </cell>
          <cell r="F52">
            <v>608</v>
          </cell>
          <cell r="G52">
            <v>60368.319999999985</v>
          </cell>
          <cell r="H52">
            <v>17735.36</v>
          </cell>
        </row>
        <row r="53">
          <cell r="C53">
            <v>2049</v>
          </cell>
          <cell r="D53" t="str">
            <v>Hatfield Academy</v>
          </cell>
          <cell r="E53" t="str">
            <v>Recoupment Academy</v>
          </cell>
          <cell r="F53">
            <v>368</v>
          </cell>
          <cell r="G53">
            <v>36538.719999999994</v>
          </cell>
          <cell r="H53">
            <v>10734.56</v>
          </cell>
        </row>
        <row r="54">
          <cell r="C54">
            <v>2297</v>
          </cell>
          <cell r="D54" t="str">
            <v>High Green Primary School</v>
          </cell>
          <cell r="E54">
            <v>0</v>
          </cell>
          <cell r="F54">
            <v>213</v>
          </cell>
          <cell r="G54">
            <v>21148.769999999997</v>
          </cell>
          <cell r="H54">
            <v>6213.21</v>
          </cell>
        </row>
        <row r="55">
          <cell r="C55">
            <v>2042</v>
          </cell>
          <cell r="D55" t="str">
            <v>High Hazels Junior School</v>
          </cell>
          <cell r="E55" t="str">
            <v>Recoupment Academy</v>
          </cell>
          <cell r="F55">
            <v>361</v>
          </cell>
          <cell r="G55">
            <v>35843.689999999995</v>
          </cell>
          <cell r="H55">
            <v>10530.369999999999</v>
          </cell>
        </row>
        <row r="56">
          <cell r="C56">
            <v>2039</v>
          </cell>
          <cell r="D56" t="str">
            <v>High Hazels Nursery Infant School</v>
          </cell>
          <cell r="E56" t="str">
            <v>Recoupment Academy</v>
          </cell>
          <cell r="F56">
            <v>260</v>
          </cell>
          <cell r="G56">
            <v>25815.399999999994</v>
          </cell>
          <cell r="H56">
            <v>7584.2</v>
          </cell>
        </row>
        <row r="57">
          <cell r="C57">
            <v>2339</v>
          </cell>
          <cell r="D57" t="str">
            <v>Hillsborough Primary School</v>
          </cell>
          <cell r="E57" t="str">
            <v>Recoupment Academy</v>
          </cell>
          <cell r="F57">
            <v>353</v>
          </cell>
          <cell r="G57">
            <v>35049.369999999995</v>
          </cell>
          <cell r="H57">
            <v>10297.01</v>
          </cell>
        </row>
        <row r="58">
          <cell r="C58">
            <v>2213</v>
          </cell>
          <cell r="D58" t="str">
            <v>Holt House Infant School</v>
          </cell>
          <cell r="E58">
            <v>0</v>
          </cell>
          <cell r="F58">
            <v>169</v>
          </cell>
          <cell r="G58">
            <v>16780.009999999995</v>
          </cell>
          <cell r="H58">
            <v>4929.7299999999996</v>
          </cell>
        </row>
        <row r="59">
          <cell r="C59">
            <v>2337</v>
          </cell>
          <cell r="D59" t="str">
            <v>Hucklow Primary School</v>
          </cell>
          <cell r="E59" t="str">
            <v>Recoupment Academy</v>
          </cell>
          <cell r="F59">
            <v>418</v>
          </cell>
          <cell r="G59">
            <v>41503.219999999994</v>
          </cell>
          <cell r="H59">
            <v>12193.06</v>
          </cell>
        </row>
        <row r="60">
          <cell r="C60">
            <v>2060</v>
          </cell>
          <cell r="D60" t="str">
            <v>Hunter's Bar Infant School</v>
          </cell>
          <cell r="E60">
            <v>0</v>
          </cell>
          <cell r="F60">
            <v>270</v>
          </cell>
          <cell r="G60">
            <v>26808.299999999996</v>
          </cell>
          <cell r="H60">
            <v>7875.9</v>
          </cell>
        </row>
        <row r="61">
          <cell r="C61">
            <v>2058</v>
          </cell>
          <cell r="D61" t="str">
            <v>Hunter's Bar Junior School</v>
          </cell>
          <cell r="E61">
            <v>0</v>
          </cell>
          <cell r="F61">
            <v>354</v>
          </cell>
          <cell r="G61">
            <v>35148.659999999989</v>
          </cell>
          <cell r="H61">
            <v>10326.179999999998</v>
          </cell>
        </row>
        <row r="62">
          <cell r="C62">
            <v>2063</v>
          </cell>
          <cell r="D62" t="str">
            <v>Intake Primary School</v>
          </cell>
          <cell r="E62">
            <v>0</v>
          </cell>
          <cell r="F62">
            <v>409</v>
          </cell>
          <cell r="G62">
            <v>40609.609999999993</v>
          </cell>
          <cell r="H62">
            <v>11930.529999999999</v>
          </cell>
        </row>
        <row r="63">
          <cell r="C63">
            <v>2261</v>
          </cell>
          <cell r="D63" t="str">
            <v>Limpsfield Junior School</v>
          </cell>
          <cell r="E63">
            <v>0</v>
          </cell>
          <cell r="F63">
            <v>234</v>
          </cell>
          <cell r="G63">
            <v>23233.859999999993</v>
          </cell>
          <cell r="H63">
            <v>6825.78</v>
          </cell>
        </row>
        <row r="64">
          <cell r="C64">
            <v>2315</v>
          </cell>
          <cell r="D64" t="str">
            <v>Lound Infant School</v>
          </cell>
          <cell r="E64" t="str">
            <v>Recoupment Academy</v>
          </cell>
          <cell r="F64">
            <v>152</v>
          </cell>
          <cell r="G64">
            <v>15092.079999999996</v>
          </cell>
          <cell r="H64">
            <v>4433.84</v>
          </cell>
        </row>
        <row r="65">
          <cell r="C65">
            <v>2298</v>
          </cell>
          <cell r="D65" t="str">
            <v>Lound Junior School</v>
          </cell>
          <cell r="E65" t="str">
            <v>Recoupment Academy</v>
          </cell>
          <cell r="F65">
            <v>232</v>
          </cell>
          <cell r="G65">
            <v>23035.279999999995</v>
          </cell>
          <cell r="H65">
            <v>6767.44</v>
          </cell>
        </row>
        <row r="66">
          <cell r="C66">
            <v>2029</v>
          </cell>
          <cell r="D66" t="str">
            <v>Lowedges Junior Academy</v>
          </cell>
          <cell r="E66" t="str">
            <v>Recoupment Academy</v>
          </cell>
          <cell r="F66">
            <v>302</v>
          </cell>
          <cell r="G66">
            <v>29985.579999999994</v>
          </cell>
          <cell r="H66">
            <v>8809.34</v>
          </cell>
        </row>
        <row r="67">
          <cell r="C67">
            <v>2045</v>
          </cell>
          <cell r="D67" t="str">
            <v>Lower Meadow Primary School</v>
          </cell>
          <cell r="E67" t="str">
            <v>Recoupment Academy</v>
          </cell>
          <cell r="F67">
            <v>261</v>
          </cell>
          <cell r="G67">
            <v>25914.689999999995</v>
          </cell>
          <cell r="H67">
            <v>7613.37</v>
          </cell>
        </row>
        <row r="68">
          <cell r="C68">
            <v>2070</v>
          </cell>
          <cell r="D68" t="str">
            <v>Lowfield Community Primary School</v>
          </cell>
          <cell r="E68">
            <v>0</v>
          </cell>
          <cell r="F68">
            <v>366</v>
          </cell>
          <cell r="G68">
            <v>36340.139999999992</v>
          </cell>
          <cell r="H68">
            <v>10676.22</v>
          </cell>
        </row>
        <row r="69">
          <cell r="C69">
            <v>2292</v>
          </cell>
          <cell r="D69" t="str">
            <v>Loxley Primary School</v>
          </cell>
          <cell r="E69">
            <v>0</v>
          </cell>
          <cell r="F69">
            <v>212</v>
          </cell>
          <cell r="G69">
            <v>21049.479999999996</v>
          </cell>
          <cell r="H69">
            <v>6184.04</v>
          </cell>
        </row>
        <row r="70">
          <cell r="C70">
            <v>2072</v>
          </cell>
          <cell r="D70" t="str">
            <v>Lydgate Infant School</v>
          </cell>
          <cell r="E70">
            <v>0</v>
          </cell>
          <cell r="F70">
            <v>352</v>
          </cell>
          <cell r="G70">
            <v>34950.079999999994</v>
          </cell>
          <cell r="H70">
            <v>10267.84</v>
          </cell>
        </row>
        <row r="71">
          <cell r="C71">
            <v>2071</v>
          </cell>
          <cell r="D71" t="str">
            <v>Lydgate Junior School</v>
          </cell>
          <cell r="E71">
            <v>0</v>
          </cell>
          <cell r="F71">
            <v>481</v>
          </cell>
          <cell r="G71">
            <v>47758.489999999991</v>
          </cell>
          <cell r="H71">
            <v>14030.769999999999</v>
          </cell>
        </row>
        <row r="72">
          <cell r="C72">
            <v>2358</v>
          </cell>
          <cell r="D72" t="str">
            <v>Malin Bridge Primary School</v>
          </cell>
          <cell r="E72">
            <v>0</v>
          </cell>
          <cell r="F72">
            <v>526</v>
          </cell>
          <cell r="G72">
            <v>52226.539999999986</v>
          </cell>
          <cell r="H72">
            <v>15343.419999999998</v>
          </cell>
        </row>
        <row r="73">
          <cell r="C73">
            <v>2359</v>
          </cell>
          <cell r="D73" t="str">
            <v>Manor Lodge Community Primary and Nursery School</v>
          </cell>
          <cell r="E73" t="str">
            <v>Recoupment Academy</v>
          </cell>
          <cell r="F73">
            <v>290</v>
          </cell>
          <cell r="G73">
            <v>28794.099999999995</v>
          </cell>
          <cell r="H73">
            <v>8459.2999999999993</v>
          </cell>
        </row>
        <row r="74">
          <cell r="C74">
            <v>2012</v>
          </cell>
          <cell r="D74" t="str">
            <v>Mansel Primary</v>
          </cell>
          <cell r="E74" t="str">
            <v>Recoupment Academy</v>
          </cell>
          <cell r="F74">
            <v>391</v>
          </cell>
          <cell r="G74">
            <v>38822.389999999992</v>
          </cell>
          <cell r="H74">
            <v>11405.47</v>
          </cell>
        </row>
        <row r="75">
          <cell r="C75">
            <v>2079</v>
          </cell>
          <cell r="D75" t="str">
            <v>Marlcliffe Community Primary School</v>
          </cell>
          <cell r="E75">
            <v>0</v>
          </cell>
          <cell r="F75">
            <v>510</v>
          </cell>
          <cell r="G75">
            <v>50637.899999999987</v>
          </cell>
          <cell r="H75">
            <v>14876.699999999999</v>
          </cell>
        </row>
        <row r="76">
          <cell r="C76">
            <v>2081</v>
          </cell>
          <cell r="D76" t="str">
            <v>Meersbrook Bank Primary School</v>
          </cell>
          <cell r="E76">
            <v>0</v>
          </cell>
          <cell r="F76">
            <v>208</v>
          </cell>
          <cell r="G76">
            <v>20652.319999999996</v>
          </cell>
          <cell r="H76">
            <v>6067.36</v>
          </cell>
        </row>
        <row r="77">
          <cell r="C77">
            <v>2013</v>
          </cell>
          <cell r="D77" t="str">
            <v>Meynell Community Primary School</v>
          </cell>
          <cell r="E77" t="str">
            <v>Recoupment Academy</v>
          </cell>
          <cell r="F77">
            <v>386</v>
          </cell>
          <cell r="G77">
            <v>38325.939999999995</v>
          </cell>
          <cell r="H77">
            <v>11259.619999999999</v>
          </cell>
        </row>
        <row r="78">
          <cell r="C78">
            <v>2346</v>
          </cell>
          <cell r="D78" t="str">
            <v>Monteney Primary School</v>
          </cell>
          <cell r="E78" t="str">
            <v>Recoupment Academy</v>
          </cell>
          <cell r="F78">
            <v>416</v>
          </cell>
          <cell r="G78">
            <v>41304.639999999992</v>
          </cell>
          <cell r="H78">
            <v>12134.72</v>
          </cell>
        </row>
        <row r="79">
          <cell r="C79">
            <v>2257</v>
          </cell>
          <cell r="D79" t="str">
            <v>Mosborough Primary School</v>
          </cell>
          <cell r="E79">
            <v>0</v>
          </cell>
          <cell r="F79">
            <v>415</v>
          </cell>
          <cell r="G79">
            <v>41205.349999999991</v>
          </cell>
          <cell r="H79">
            <v>12105.55</v>
          </cell>
        </row>
        <row r="80">
          <cell r="C80">
            <v>2092</v>
          </cell>
          <cell r="D80" t="str">
            <v>Mundella Primary School</v>
          </cell>
          <cell r="E80">
            <v>0</v>
          </cell>
          <cell r="F80">
            <v>412</v>
          </cell>
          <cell r="G80">
            <v>40907.479999999989</v>
          </cell>
          <cell r="H80">
            <v>12018.039999999999</v>
          </cell>
        </row>
        <row r="81">
          <cell r="C81">
            <v>2002</v>
          </cell>
          <cell r="D81" t="str">
            <v>Nether Edge Primary School</v>
          </cell>
          <cell r="E81" t="str">
            <v>Recoupment Academy</v>
          </cell>
          <cell r="F81">
            <v>404</v>
          </cell>
          <cell r="G81">
            <v>40113.159999999989</v>
          </cell>
          <cell r="H81">
            <v>11784.679999999998</v>
          </cell>
        </row>
        <row r="82">
          <cell r="C82">
            <v>2221</v>
          </cell>
          <cell r="D82" t="str">
            <v>Nether Green Infant School</v>
          </cell>
          <cell r="E82">
            <v>0</v>
          </cell>
          <cell r="F82">
            <v>209</v>
          </cell>
          <cell r="G82">
            <v>20751.609999999997</v>
          </cell>
          <cell r="H82">
            <v>6096.53</v>
          </cell>
        </row>
        <row r="83">
          <cell r="C83">
            <v>2087</v>
          </cell>
          <cell r="D83" t="str">
            <v>Nether Green Junior School</v>
          </cell>
          <cell r="E83">
            <v>0</v>
          </cell>
          <cell r="F83">
            <v>381</v>
          </cell>
          <cell r="G83">
            <v>37829.489999999991</v>
          </cell>
          <cell r="H83">
            <v>11113.769999999999</v>
          </cell>
        </row>
        <row r="84">
          <cell r="C84">
            <v>2272</v>
          </cell>
          <cell r="D84" t="str">
            <v>Netherthorpe Primary School</v>
          </cell>
          <cell r="E84">
            <v>0</v>
          </cell>
          <cell r="F84">
            <v>209</v>
          </cell>
          <cell r="G84">
            <v>20751.609999999997</v>
          </cell>
          <cell r="H84">
            <v>6096.53</v>
          </cell>
        </row>
        <row r="85">
          <cell r="C85">
            <v>2309</v>
          </cell>
          <cell r="D85" t="str">
            <v>Nook Lane Junior School</v>
          </cell>
          <cell r="E85">
            <v>0</v>
          </cell>
          <cell r="F85">
            <v>244</v>
          </cell>
          <cell r="G85">
            <v>24226.759999999995</v>
          </cell>
          <cell r="H85">
            <v>7117.48</v>
          </cell>
        </row>
        <row r="86">
          <cell r="C86">
            <v>2051</v>
          </cell>
          <cell r="D86" t="str">
            <v>Norfolk Community Primary School</v>
          </cell>
          <cell r="E86" t="str">
            <v>Recoupment Academy</v>
          </cell>
          <cell r="F86">
            <v>390</v>
          </cell>
          <cell r="G86">
            <v>38723.099999999991</v>
          </cell>
          <cell r="H86">
            <v>11376.3</v>
          </cell>
        </row>
        <row r="87">
          <cell r="C87">
            <v>3010</v>
          </cell>
          <cell r="D87" t="str">
            <v>Norton Free Church of England Primary School</v>
          </cell>
          <cell r="E87">
            <v>0</v>
          </cell>
          <cell r="F87">
            <v>212</v>
          </cell>
          <cell r="G87">
            <v>21049.479999999996</v>
          </cell>
          <cell r="H87">
            <v>6184.04</v>
          </cell>
        </row>
        <row r="88">
          <cell r="C88">
            <v>2018</v>
          </cell>
          <cell r="D88" t="str">
            <v>Oasis Academy Fir Vale</v>
          </cell>
          <cell r="E88" t="str">
            <v>Recoupment Academy</v>
          </cell>
          <cell r="F88">
            <v>363</v>
          </cell>
          <cell r="G88">
            <v>36042.26999999999</v>
          </cell>
          <cell r="H88">
            <v>10588.71</v>
          </cell>
        </row>
        <row r="89">
          <cell r="C89">
            <v>2019</v>
          </cell>
          <cell r="D89" t="str">
            <v>Oasis Academy Watermead</v>
          </cell>
          <cell r="E89" t="str">
            <v>Recoupment Academy</v>
          </cell>
          <cell r="F89">
            <v>289</v>
          </cell>
          <cell r="G89">
            <v>28694.809999999994</v>
          </cell>
          <cell r="H89">
            <v>8430.1299999999992</v>
          </cell>
        </row>
        <row r="90">
          <cell r="C90">
            <v>2313</v>
          </cell>
          <cell r="D90" t="str">
            <v>Oughtibridge Primary School</v>
          </cell>
          <cell r="E90">
            <v>0</v>
          </cell>
          <cell r="F90">
            <v>425</v>
          </cell>
          <cell r="G90">
            <v>42198.249999999993</v>
          </cell>
          <cell r="H90">
            <v>12397.25</v>
          </cell>
        </row>
        <row r="91">
          <cell r="C91">
            <v>2093</v>
          </cell>
          <cell r="D91" t="str">
            <v>Owler Brook Primary School</v>
          </cell>
          <cell r="E91">
            <v>0</v>
          </cell>
          <cell r="F91">
            <v>451</v>
          </cell>
          <cell r="G91">
            <v>44779.789999999994</v>
          </cell>
          <cell r="H91">
            <v>13155.67</v>
          </cell>
        </row>
        <row r="92">
          <cell r="C92">
            <v>3428</v>
          </cell>
          <cell r="D92" t="str">
            <v>Parson Cross Church of England Primary School</v>
          </cell>
          <cell r="E92">
            <v>0</v>
          </cell>
          <cell r="F92">
            <v>201</v>
          </cell>
          <cell r="G92">
            <v>19957.289999999997</v>
          </cell>
          <cell r="H92">
            <v>5863.17</v>
          </cell>
        </row>
        <row r="93">
          <cell r="C93">
            <v>2016</v>
          </cell>
          <cell r="D93" t="str">
            <v>Pathways E-Act Primary Academy (Longley)</v>
          </cell>
          <cell r="E93" t="str">
            <v>Recoupment Academy</v>
          </cell>
          <cell r="F93">
            <v>410</v>
          </cell>
          <cell r="G93">
            <v>40708.899999999994</v>
          </cell>
          <cell r="H93">
            <v>11959.699999999999</v>
          </cell>
        </row>
        <row r="94">
          <cell r="C94">
            <v>2332</v>
          </cell>
          <cell r="D94" t="str">
            <v>Phillimore Community Primary School</v>
          </cell>
          <cell r="E94" t="str">
            <v>Recoupment Academy</v>
          </cell>
          <cell r="F94">
            <v>399</v>
          </cell>
          <cell r="G94">
            <v>39616.709999999992</v>
          </cell>
          <cell r="H94">
            <v>11638.83</v>
          </cell>
        </row>
        <row r="95">
          <cell r="C95">
            <v>3433</v>
          </cell>
          <cell r="D95" t="str">
            <v>Pipworth Community Primary School</v>
          </cell>
          <cell r="E95">
            <v>0</v>
          </cell>
          <cell r="F95">
            <v>407</v>
          </cell>
          <cell r="G95">
            <v>40411.029999999992</v>
          </cell>
          <cell r="H95">
            <v>11872.189999999999</v>
          </cell>
        </row>
        <row r="96">
          <cell r="C96">
            <v>3427</v>
          </cell>
          <cell r="D96" t="str">
            <v>Porter Croft Church of England Primary Academy</v>
          </cell>
          <cell r="E96" t="str">
            <v>Recoupment Academy</v>
          </cell>
          <cell r="F96">
            <v>215</v>
          </cell>
          <cell r="G96">
            <v>21347.349999999995</v>
          </cell>
          <cell r="H96">
            <v>6271.5499999999993</v>
          </cell>
        </row>
        <row r="97">
          <cell r="C97">
            <v>2347</v>
          </cell>
          <cell r="D97" t="str">
            <v>Prince Edward Primary School</v>
          </cell>
          <cell r="E97">
            <v>0</v>
          </cell>
          <cell r="F97">
            <v>399</v>
          </cell>
          <cell r="G97">
            <v>39616.709999999992</v>
          </cell>
          <cell r="H97">
            <v>11638.83</v>
          </cell>
        </row>
        <row r="98">
          <cell r="C98">
            <v>2366</v>
          </cell>
          <cell r="D98" t="str">
            <v>Pye Bank CofE Primary School</v>
          </cell>
          <cell r="E98">
            <v>0</v>
          </cell>
          <cell r="F98">
            <v>420</v>
          </cell>
          <cell r="G98">
            <v>41701.799999999988</v>
          </cell>
          <cell r="H98">
            <v>12251.4</v>
          </cell>
        </row>
        <row r="99">
          <cell r="C99">
            <v>2363</v>
          </cell>
          <cell r="D99" t="str">
            <v>Rainbow Forge Primary Academy</v>
          </cell>
          <cell r="E99" t="str">
            <v>Recoupment Academy</v>
          </cell>
          <cell r="F99">
            <v>312</v>
          </cell>
          <cell r="G99">
            <v>30978.479999999992</v>
          </cell>
          <cell r="H99">
            <v>9101.0399999999991</v>
          </cell>
        </row>
        <row r="100">
          <cell r="C100">
            <v>2334</v>
          </cell>
          <cell r="D100" t="str">
            <v>Reignhead Primary School</v>
          </cell>
          <cell r="E100">
            <v>0</v>
          </cell>
          <cell r="F100">
            <v>269</v>
          </cell>
          <cell r="G100">
            <v>26709.009999999995</v>
          </cell>
          <cell r="H100">
            <v>7846.73</v>
          </cell>
        </row>
        <row r="101">
          <cell r="C101">
            <v>2338</v>
          </cell>
          <cell r="D101" t="str">
            <v>Rivelin Primary School</v>
          </cell>
          <cell r="E101">
            <v>0</v>
          </cell>
          <cell r="F101">
            <v>367</v>
          </cell>
          <cell r="G101">
            <v>36439.429999999993</v>
          </cell>
          <cell r="H101">
            <v>10705.39</v>
          </cell>
        </row>
        <row r="102">
          <cell r="C102">
            <v>2306</v>
          </cell>
          <cell r="D102" t="str">
            <v>Royd Nursery and Infant School</v>
          </cell>
          <cell r="E102">
            <v>0</v>
          </cell>
          <cell r="F102">
            <v>153</v>
          </cell>
          <cell r="G102">
            <v>15191.369999999997</v>
          </cell>
          <cell r="H102">
            <v>4463.0099999999993</v>
          </cell>
        </row>
        <row r="103">
          <cell r="C103">
            <v>3401</v>
          </cell>
          <cell r="D103" t="str">
            <v>Sacred Heart School, A Catholic Voluntary Academy</v>
          </cell>
          <cell r="E103" t="str">
            <v>Recoupment Academy</v>
          </cell>
          <cell r="F103">
            <v>209</v>
          </cell>
          <cell r="G103">
            <v>20751.609999999997</v>
          </cell>
          <cell r="H103">
            <v>6096.53</v>
          </cell>
        </row>
        <row r="104">
          <cell r="C104">
            <v>2369</v>
          </cell>
          <cell r="D104" t="str">
            <v>Sharrow Nursery, Infant and Junior School</v>
          </cell>
          <cell r="E104">
            <v>0</v>
          </cell>
          <cell r="F104">
            <v>412</v>
          </cell>
          <cell r="G104">
            <v>40907.479999999989</v>
          </cell>
          <cell r="H104">
            <v>12018.039999999999</v>
          </cell>
        </row>
        <row r="105">
          <cell r="C105">
            <v>2349</v>
          </cell>
          <cell r="D105" t="str">
            <v>Shooter's Grove Primary School</v>
          </cell>
          <cell r="E105">
            <v>0</v>
          </cell>
          <cell r="F105">
            <v>369</v>
          </cell>
          <cell r="G105">
            <v>36638.009999999995</v>
          </cell>
          <cell r="H105">
            <v>10763.73</v>
          </cell>
        </row>
        <row r="106">
          <cell r="C106">
            <v>2360</v>
          </cell>
          <cell r="D106" t="str">
            <v>Shortbrook Primary School</v>
          </cell>
          <cell r="E106">
            <v>0</v>
          </cell>
          <cell r="F106">
            <v>91</v>
          </cell>
          <cell r="G106">
            <v>9035.3899999999976</v>
          </cell>
          <cell r="H106">
            <v>2654.47</v>
          </cell>
        </row>
        <row r="107">
          <cell r="C107">
            <v>2009</v>
          </cell>
          <cell r="D107" t="str">
            <v>Southey Green Primary School and Nurseries</v>
          </cell>
          <cell r="E107" t="str">
            <v>Recoupment Academy</v>
          </cell>
          <cell r="F107">
            <v>614</v>
          </cell>
          <cell r="G107">
            <v>60964.059999999983</v>
          </cell>
          <cell r="H107">
            <v>17910.379999999997</v>
          </cell>
        </row>
        <row r="108">
          <cell r="C108">
            <v>2329</v>
          </cell>
          <cell r="D108" t="str">
            <v>Springfield Primary School</v>
          </cell>
          <cell r="E108">
            <v>0</v>
          </cell>
          <cell r="F108">
            <v>198</v>
          </cell>
          <cell r="G108">
            <v>19659.419999999995</v>
          </cell>
          <cell r="H108">
            <v>5775.66</v>
          </cell>
        </row>
        <row r="109">
          <cell r="C109">
            <v>5202</v>
          </cell>
          <cell r="D109" t="str">
            <v>St Ann's Catholic Primary School, A Voluntary Academy</v>
          </cell>
          <cell r="E109" t="str">
            <v>Recoupment Academy</v>
          </cell>
          <cell r="F109">
            <v>98</v>
          </cell>
          <cell r="G109">
            <v>9730.4199999999983</v>
          </cell>
          <cell r="H109">
            <v>2858.66</v>
          </cell>
        </row>
        <row r="110">
          <cell r="C110">
            <v>3402</v>
          </cell>
          <cell r="D110" t="str">
            <v>St Catherine's Catholic Voluntary Academy (Hallam)</v>
          </cell>
          <cell r="E110" t="str">
            <v>Recoupment Academy</v>
          </cell>
          <cell r="F110">
            <v>421</v>
          </cell>
          <cell r="G110">
            <v>41801.089999999989</v>
          </cell>
          <cell r="H110">
            <v>12280.57</v>
          </cell>
        </row>
        <row r="111">
          <cell r="C111">
            <v>2017</v>
          </cell>
          <cell r="D111" t="str">
            <v>St John Fisher Primary, A Catholic Voluntary Academy</v>
          </cell>
          <cell r="E111" t="str">
            <v>Recoupment Academy</v>
          </cell>
          <cell r="F111">
            <v>208</v>
          </cell>
          <cell r="G111">
            <v>20652.319999999996</v>
          </cell>
          <cell r="H111">
            <v>6067.36</v>
          </cell>
        </row>
        <row r="112">
          <cell r="C112">
            <v>5203</v>
          </cell>
          <cell r="D112" t="str">
            <v>St Joseph's Primary School</v>
          </cell>
          <cell r="E112" t="str">
            <v>Recoupment Academy</v>
          </cell>
          <cell r="F112">
            <v>200</v>
          </cell>
          <cell r="G112">
            <v>19857.999999999996</v>
          </cell>
          <cell r="H112">
            <v>5834</v>
          </cell>
        </row>
        <row r="113">
          <cell r="C113">
            <v>3406</v>
          </cell>
          <cell r="D113" t="str">
            <v>St Marie's School, A Catholic Voluntary Academy</v>
          </cell>
          <cell r="E113" t="str">
            <v>Recoupment Academy</v>
          </cell>
          <cell r="F113">
            <v>269</v>
          </cell>
          <cell r="G113">
            <v>26709.009999999995</v>
          </cell>
          <cell r="H113">
            <v>7846.73</v>
          </cell>
        </row>
        <row r="114">
          <cell r="C114">
            <v>2020</v>
          </cell>
          <cell r="D114" t="str">
            <v>St Mary's Church of England Primary School</v>
          </cell>
          <cell r="E114" t="str">
            <v>Recoupment Academy</v>
          </cell>
          <cell r="F114">
            <v>171</v>
          </cell>
          <cell r="G114">
            <v>16978.589999999997</v>
          </cell>
          <cell r="H114">
            <v>4988.07</v>
          </cell>
        </row>
        <row r="115">
          <cell r="C115">
            <v>3423</v>
          </cell>
          <cell r="D115" t="str">
            <v>St Mary's Primary School, A Catholic Voluntary Academy</v>
          </cell>
          <cell r="E115" t="str">
            <v>Recoupment Academy</v>
          </cell>
          <cell r="F115">
            <v>192</v>
          </cell>
          <cell r="G115">
            <v>19063.679999999997</v>
          </cell>
          <cell r="H115">
            <v>5600.6399999999994</v>
          </cell>
        </row>
        <row r="116">
          <cell r="C116">
            <v>5207</v>
          </cell>
          <cell r="D116" t="str">
            <v>St Patrick's Catholic Voluntary Academy</v>
          </cell>
          <cell r="E116" t="str">
            <v>Recoupment Academy</v>
          </cell>
          <cell r="F116">
            <v>280</v>
          </cell>
          <cell r="G116">
            <v>27801.199999999993</v>
          </cell>
          <cell r="H116">
            <v>8167.5999999999995</v>
          </cell>
        </row>
        <row r="117">
          <cell r="C117">
            <v>5208</v>
          </cell>
          <cell r="D117" t="str">
            <v>St Theresa's Catholic Primary School</v>
          </cell>
          <cell r="E117">
            <v>0</v>
          </cell>
          <cell r="F117">
            <v>207</v>
          </cell>
          <cell r="G117">
            <v>20553.029999999995</v>
          </cell>
          <cell r="H117">
            <v>6038.19</v>
          </cell>
        </row>
        <row r="118">
          <cell r="C118">
            <v>3424</v>
          </cell>
          <cell r="D118" t="str">
            <v>St Thomas More Catholic Primary, A Voluntary Academy</v>
          </cell>
          <cell r="E118" t="str">
            <v>Recoupment Academy</v>
          </cell>
          <cell r="F118">
            <v>206</v>
          </cell>
          <cell r="G118">
            <v>20453.739999999994</v>
          </cell>
          <cell r="H118">
            <v>6009.0199999999995</v>
          </cell>
        </row>
        <row r="119">
          <cell r="C119">
            <v>3414</v>
          </cell>
          <cell r="D119" t="str">
            <v>St Thomas of Canterbury School, a Catholic Voluntary Academy</v>
          </cell>
          <cell r="E119" t="str">
            <v>Recoupment Academy</v>
          </cell>
          <cell r="F119">
            <v>209</v>
          </cell>
          <cell r="G119">
            <v>20751.609999999997</v>
          </cell>
          <cell r="H119">
            <v>6096.53</v>
          </cell>
        </row>
        <row r="120">
          <cell r="C120">
            <v>3412</v>
          </cell>
          <cell r="D120" t="str">
            <v>St Wilfrid's Catholic Primary School</v>
          </cell>
          <cell r="E120" t="str">
            <v>Recoupment Academy</v>
          </cell>
          <cell r="F120">
            <v>310</v>
          </cell>
          <cell r="G120">
            <v>30779.899999999994</v>
          </cell>
          <cell r="H120">
            <v>9042.6999999999989</v>
          </cell>
        </row>
        <row r="121">
          <cell r="C121">
            <v>2294</v>
          </cell>
          <cell r="D121" t="str">
            <v>Stannington Infant School</v>
          </cell>
          <cell r="E121">
            <v>0</v>
          </cell>
          <cell r="F121">
            <v>180</v>
          </cell>
          <cell r="G121">
            <v>17872.199999999997</v>
          </cell>
          <cell r="H121">
            <v>5250.5999999999995</v>
          </cell>
        </row>
        <row r="122">
          <cell r="C122">
            <v>2303</v>
          </cell>
          <cell r="D122" t="str">
            <v>Stocksbridge Junior School</v>
          </cell>
          <cell r="E122">
            <v>0</v>
          </cell>
          <cell r="F122">
            <v>369</v>
          </cell>
          <cell r="G122">
            <v>36638.009999999995</v>
          </cell>
          <cell r="H122">
            <v>10763.73</v>
          </cell>
        </row>
        <row r="123">
          <cell r="C123">
            <v>2302</v>
          </cell>
          <cell r="D123" t="str">
            <v>Stocksbridge Nursery Infant School</v>
          </cell>
          <cell r="E123">
            <v>0</v>
          </cell>
          <cell r="F123">
            <v>209</v>
          </cell>
          <cell r="G123">
            <v>20751.609999999997</v>
          </cell>
          <cell r="H123">
            <v>6096.53</v>
          </cell>
        </row>
        <row r="124">
          <cell r="C124">
            <v>2350</v>
          </cell>
          <cell r="D124" t="str">
            <v>Stradbroke Primary School</v>
          </cell>
          <cell r="E124">
            <v>0</v>
          </cell>
          <cell r="F124">
            <v>417</v>
          </cell>
          <cell r="G124">
            <v>41403.929999999993</v>
          </cell>
          <cell r="H124">
            <v>12163.89</v>
          </cell>
        </row>
        <row r="125">
          <cell r="C125">
            <v>2230</v>
          </cell>
          <cell r="D125" t="str">
            <v>Tinsley Meadows Primary School</v>
          </cell>
          <cell r="E125" t="str">
            <v>Recoupment Academy</v>
          </cell>
          <cell r="F125">
            <v>525</v>
          </cell>
          <cell r="G125">
            <v>52127.249999999985</v>
          </cell>
          <cell r="H125">
            <v>15314.249999999998</v>
          </cell>
        </row>
        <row r="126">
          <cell r="C126">
            <v>5206</v>
          </cell>
          <cell r="D126" t="str">
            <v>Totley All Saints Church of England Voluntary Aided Primary School</v>
          </cell>
          <cell r="E126">
            <v>0</v>
          </cell>
          <cell r="F126">
            <v>209</v>
          </cell>
          <cell r="G126">
            <v>20751.609999999997</v>
          </cell>
          <cell r="H126">
            <v>6096.53</v>
          </cell>
        </row>
        <row r="127">
          <cell r="C127">
            <v>2203</v>
          </cell>
          <cell r="D127" t="str">
            <v>Totley Primary School</v>
          </cell>
          <cell r="E127" t="str">
            <v>Recoupment Academy</v>
          </cell>
          <cell r="F127">
            <v>310</v>
          </cell>
          <cell r="G127">
            <v>30779.899999999994</v>
          </cell>
          <cell r="H127">
            <v>9042.6999999999989</v>
          </cell>
        </row>
        <row r="128">
          <cell r="C128">
            <v>2034</v>
          </cell>
          <cell r="D128" t="str">
            <v>Valley Park Community School</v>
          </cell>
          <cell r="E128" t="str">
            <v>Recoupment Academy</v>
          </cell>
          <cell r="F128">
            <v>372</v>
          </cell>
          <cell r="G128">
            <v>36935.87999999999</v>
          </cell>
          <cell r="H128">
            <v>10851.24</v>
          </cell>
        </row>
        <row r="129">
          <cell r="C129">
            <v>2351</v>
          </cell>
          <cell r="D129" t="str">
            <v>Walkley Primary School</v>
          </cell>
          <cell r="E129">
            <v>0</v>
          </cell>
          <cell r="F129">
            <v>306</v>
          </cell>
          <cell r="G129">
            <v>30382.739999999994</v>
          </cell>
          <cell r="H129">
            <v>8926.0199999999986</v>
          </cell>
        </row>
        <row r="130">
          <cell r="C130">
            <v>3432</v>
          </cell>
          <cell r="D130" t="str">
            <v>Watercliffe Meadow Community Primary School</v>
          </cell>
          <cell r="E130">
            <v>0</v>
          </cell>
          <cell r="F130">
            <v>420</v>
          </cell>
          <cell r="G130">
            <v>41701.799999999988</v>
          </cell>
          <cell r="H130">
            <v>12251.4</v>
          </cell>
        </row>
        <row r="131">
          <cell r="C131">
            <v>2319</v>
          </cell>
          <cell r="D131" t="str">
            <v>Waterthorpe Infant School</v>
          </cell>
          <cell r="E131">
            <v>0</v>
          </cell>
          <cell r="F131">
            <v>137</v>
          </cell>
          <cell r="G131">
            <v>13602.729999999998</v>
          </cell>
          <cell r="H131">
            <v>3996.29</v>
          </cell>
        </row>
        <row r="132">
          <cell r="C132">
            <v>2352</v>
          </cell>
          <cell r="D132" t="str">
            <v>Westways Primary School</v>
          </cell>
          <cell r="E132">
            <v>0</v>
          </cell>
          <cell r="F132">
            <v>574</v>
          </cell>
          <cell r="G132">
            <v>56992.459999999985</v>
          </cell>
          <cell r="H132">
            <v>16743.579999999998</v>
          </cell>
        </row>
        <row r="133">
          <cell r="C133">
            <v>2311</v>
          </cell>
          <cell r="D133" t="str">
            <v>Wharncliffe Side Primary School</v>
          </cell>
          <cell r="E133">
            <v>0</v>
          </cell>
          <cell r="F133">
            <v>146</v>
          </cell>
          <cell r="G133">
            <v>14496.339999999997</v>
          </cell>
          <cell r="H133">
            <v>4258.82</v>
          </cell>
        </row>
        <row r="134">
          <cell r="C134">
            <v>2040</v>
          </cell>
          <cell r="D134" t="str">
            <v>Whiteways Primary School</v>
          </cell>
          <cell r="E134">
            <v>0</v>
          </cell>
          <cell r="F134">
            <v>446</v>
          </cell>
          <cell r="G134">
            <v>44283.339999999989</v>
          </cell>
          <cell r="H134">
            <v>13009.82</v>
          </cell>
        </row>
        <row r="135">
          <cell r="C135">
            <v>2027</v>
          </cell>
          <cell r="D135" t="str">
            <v>Wincobank Nursery and Infant School</v>
          </cell>
          <cell r="E135" t="str">
            <v>Recoupment Academy</v>
          </cell>
          <cell r="F135">
            <v>165</v>
          </cell>
          <cell r="G135">
            <v>16382.849999999997</v>
          </cell>
          <cell r="H135">
            <v>4813.0499999999993</v>
          </cell>
        </row>
        <row r="136">
          <cell r="C136">
            <v>2361</v>
          </cell>
          <cell r="D136" t="str">
            <v>Windmill Hill Primary School</v>
          </cell>
          <cell r="E136" t="str">
            <v>Recoupment Academy</v>
          </cell>
          <cell r="F136">
            <v>372</v>
          </cell>
          <cell r="G136">
            <v>36935.87999999999</v>
          </cell>
          <cell r="H136">
            <v>10851.24</v>
          </cell>
        </row>
        <row r="137">
          <cell r="C137">
            <v>2043</v>
          </cell>
          <cell r="D137" t="str">
            <v>Wisewood Community Primary School</v>
          </cell>
          <cell r="E137" t="str">
            <v>Recoupment Academy</v>
          </cell>
          <cell r="F137">
            <v>158</v>
          </cell>
          <cell r="G137">
            <v>15687.819999999996</v>
          </cell>
          <cell r="H137">
            <v>4608.8599999999997</v>
          </cell>
        </row>
        <row r="138">
          <cell r="C138">
            <v>2139</v>
          </cell>
          <cell r="D138" t="str">
            <v>Woodhouse West Primary School</v>
          </cell>
          <cell r="E138">
            <v>0</v>
          </cell>
          <cell r="F138">
            <v>341</v>
          </cell>
          <cell r="G138">
            <v>33857.889999999992</v>
          </cell>
          <cell r="H138">
            <v>9946.9699999999993</v>
          </cell>
        </row>
        <row r="139">
          <cell r="C139">
            <v>2324</v>
          </cell>
          <cell r="D139" t="str">
            <v>Woodseats Primary School</v>
          </cell>
          <cell r="E139">
            <v>0</v>
          </cell>
          <cell r="F139">
            <v>357</v>
          </cell>
          <cell r="G139">
            <v>35446.529999999992</v>
          </cell>
          <cell r="H139">
            <v>10413.689999999999</v>
          </cell>
        </row>
        <row r="140">
          <cell r="C140">
            <v>2327</v>
          </cell>
          <cell r="D140" t="str">
            <v>Woodthorpe Primary School</v>
          </cell>
          <cell r="E140">
            <v>0</v>
          </cell>
          <cell r="F140">
            <v>402</v>
          </cell>
          <cell r="G140">
            <v>39914.579999999994</v>
          </cell>
          <cell r="H140">
            <v>11726.34</v>
          </cell>
        </row>
        <row r="141">
          <cell r="C141">
            <v>2321</v>
          </cell>
          <cell r="D141" t="str">
            <v>Wybourn Community Primary School</v>
          </cell>
          <cell r="E141" t="str">
            <v>Recoupment Academy</v>
          </cell>
          <cell r="F141">
            <v>405</v>
          </cell>
          <cell r="G141">
            <v>40212.44999999999</v>
          </cell>
          <cell r="H141">
            <v>11813.849999999999</v>
          </cell>
        </row>
        <row r="143">
          <cell r="D143" t="str">
            <v>Total Primary</v>
          </cell>
          <cell r="F143">
            <v>43727</v>
          </cell>
          <cell r="G143">
            <v>4341653.8299999982</v>
          </cell>
          <cell r="H143">
            <v>1275516.5900000005</v>
          </cell>
        </row>
        <row r="145">
          <cell r="D145" t="str">
            <v>Secondary</v>
          </cell>
          <cell r="G145">
            <v>64.72</v>
          </cell>
          <cell r="H145">
            <v>23</v>
          </cell>
        </row>
        <row r="147">
          <cell r="C147">
            <v>5401</v>
          </cell>
          <cell r="D147" t="str">
            <v>All Saints' Catholic High School</v>
          </cell>
          <cell r="E147" t="str">
            <v>Recoupment Academy</v>
          </cell>
          <cell r="F147">
            <v>1029</v>
          </cell>
          <cell r="G147">
            <v>66596.88</v>
          </cell>
          <cell r="H147">
            <v>23667</v>
          </cell>
        </row>
        <row r="148">
          <cell r="C148">
            <v>4276</v>
          </cell>
          <cell r="D148" t="str">
            <v>The Birley Academy</v>
          </cell>
          <cell r="E148" t="str">
            <v>Recoupment Academy</v>
          </cell>
          <cell r="F148">
            <v>1139</v>
          </cell>
          <cell r="G148">
            <v>73716.08</v>
          </cell>
          <cell r="H148">
            <v>26197</v>
          </cell>
        </row>
        <row r="149">
          <cell r="C149">
            <v>4272</v>
          </cell>
          <cell r="D149" t="str">
            <v>Bradfield School</v>
          </cell>
          <cell r="E149" t="str">
            <v>Recoupment Academy</v>
          </cell>
          <cell r="F149">
            <v>960</v>
          </cell>
          <cell r="G149">
            <v>62131.199999999997</v>
          </cell>
          <cell r="H149">
            <v>22080</v>
          </cell>
        </row>
        <row r="150">
          <cell r="C150">
            <v>4000</v>
          </cell>
          <cell r="D150" t="str">
            <v>Chaucer School</v>
          </cell>
          <cell r="E150" t="str">
            <v>Recoupment Academy</v>
          </cell>
          <cell r="F150">
            <v>840</v>
          </cell>
          <cell r="G150">
            <v>54364.799999999996</v>
          </cell>
          <cell r="H150">
            <v>19320</v>
          </cell>
        </row>
        <row r="151">
          <cell r="C151">
            <v>4012</v>
          </cell>
          <cell r="D151" t="str">
            <v>Ecclesfield School</v>
          </cell>
          <cell r="E151" t="str">
            <v>Recoupment Academy</v>
          </cell>
          <cell r="F151">
            <v>1701</v>
          </cell>
          <cell r="G151">
            <v>110088.72</v>
          </cell>
          <cell r="H151">
            <v>39123</v>
          </cell>
        </row>
        <row r="152">
          <cell r="C152">
            <v>4280</v>
          </cell>
          <cell r="D152" t="str">
            <v>Fir Vale School</v>
          </cell>
          <cell r="E152" t="str">
            <v>Recoupment Academy</v>
          </cell>
          <cell r="F152">
            <v>1061</v>
          </cell>
          <cell r="G152">
            <v>68667.92</v>
          </cell>
          <cell r="H152">
            <v>24403</v>
          </cell>
        </row>
        <row r="153">
          <cell r="C153">
            <v>4003</v>
          </cell>
          <cell r="D153" t="str">
            <v>Firth Park Academy</v>
          </cell>
          <cell r="E153" t="str">
            <v>Recoupment Academy</v>
          </cell>
          <cell r="F153">
            <v>1146</v>
          </cell>
          <cell r="G153">
            <v>74169.119999999995</v>
          </cell>
          <cell r="H153">
            <v>26358</v>
          </cell>
        </row>
        <row r="154">
          <cell r="C154">
            <v>4007</v>
          </cell>
          <cell r="D154" t="str">
            <v>Forge Valley School</v>
          </cell>
          <cell r="E154" t="str">
            <v>Recoupment Academy</v>
          </cell>
          <cell r="F154">
            <v>1122</v>
          </cell>
          <cell r="G154">
            <v>72615.839999999997</v>
          </cell>
          <cell r="H154">
            <v>25806</v>
          </cell>
        </row>
        <row r="155">
          <cell r="C155">
            <v>4278</v>
          </cell>
          <cell r="D155" t="str">
            <v>Handsworth Grange Community Sports College</v>
          </cell>
          <cell r="E155" t="str">
            <v>Recoupment Academy</v>
          </cell>
          <cell r="F155">
            <v>1013</v>
          </cell>
          <cell r="G155">
            <v>65561.36</v>
          </cell>
          <cell r="H155">
            <v>23299</v>
          </cell>
        </row>
        <row r="156">
          <cell r="C156">
            <v>4257</v>
          </cell>
          <cell r="D156" t="str">
            <v>High Storrs School</v>
          </cell>
          <cell r="E156" t="str">
            <v>Recoupment Academy</v>
          </cell>
          <cell r="F156">
            <v>1207</v>
          </cell>
          <cell r="G156">
            <v>78117.039999999994</v>
          </cell>
          <cell r="H156">
            <v>27761</v>
          </cell>
        </row>
        <row r="157">
          <cell r="C157">
            <v>4230</v>
          </cell>
          <cell r="D157" t="str">
            <v>King Ecgbert School</v>
          </cell>
          <cell r="E157" t="str">
            <v>Recoupment Academy</v>
          </cell>
          <cell r="F157">
            <v>1003</v>
          </cell>
          <cell r="G157">
            <v>64914.159999999996</v>
          </cell>
          <cell r="H157">
            <v>23069</v>
          </cell>
        </row>
        <row r="158">
          <cell r="C158">
            <v>4259</v>
          </cell>
          <cell r="D158" t="str">
            <v>King Edward VII School</v>
          </cell>
          <cell r="E158">
            <v>0</v>
          </cell>
          <cell r="F158">
            <v>1143</v>
          </cell>
          <cell r="G158">
            <v>73974.959999999992</v>
          </cell>
          <cell r="H158">
            <v>26289</v>
          </cell>
        </row>
        <row r="159">
          <cell r="C159">
            <v>4279</v>
          </cell>
          <cell r="D159" t="str">
            <v>Meadowhead School Academy Trust</v>
          </cell>
          <cell r="E159" t="str">
            <v>Recoupment Academy</v>
          </cell>
          <cell r="F159">
            <v>1601</v>
          </cell>
          <cell r="G159">
            <v>103616.72</v>
          </cell>
          <cell r="H159">
            <v>36823</v>
          </cell>
        </row>
        <row r="160">
          <cell r="C160">
            <v>4015</v>
          </cell>
          <cell r="D160" t="str">
            <v>Mercia Academy</v>
          </cell>
          <cell r="E160" t="str">
            <v>Recoupment Academy</v>
          </cell>
          <cell r="F160">
            <v>211.5</v>
          </cell>
          <cell r="G160">
            <v>13688.28</v>
          </cell>
          <cell r="H160">
            <v>4864.5</v>
          </cell>
        </row>
        <row r="161">
          <cell r="C161">
            <v>4008</v>
          </cell>
          <cell r="D161" t="str">
            <v>Newfield Secondary School</v>
          </cell>
          <cell r="E161" t="str">
            <v>Recoupment Academy</v>
          </cell>
          <cell r="F161">
            <v>1036</v>
          </cell>
          <cell r="G161">
            <v>67049.919999999998</v>
          </cell>
          <cell r="H161">
            <v>23828</v>
          </cell>
        </row>
        <row r="162">
          <cell r="C162">
            <v>5400</v>
          </cell>
          <cell r="D162" t="str">
            <v>Notre Dame High School</v>
          </cell>
          <cell r="E162" t="str">
            <v>Recoupment Academy</v>
          </cell>
          <cell r="F162">
            <v>1071</v>
          </cell>
          <cell r="G162">
            <v>69315.12</v>
          </cell>
          <cell r="H162">
            <v>24633</v>
          </cell>
        </row>
        <row r="163">
          <cell r="C163">
            <v>4006</v>
          </cell>
          <cell r="D163" t="str">
            <v>Outwood Academy City</v>
          </cell>
          <cell r="E163" t="str">
            <v>Recoupment Academy</v>
          </cell>
          <cell r="F163">
            <v>1045</v>
          </cell>
          <cell r="G163">
            <v>67632.399999999994</v>
          </cell>
          <cell r="H163">
            <v>24035</v>
          </cell>
        </row>
        <row r="164">
          <cell r="C164">
            <v>6907</v>
          </cell>
          <cell r="D164" t="str">
            <v>Parkwood E-Act Academy</v>
          </cell>
          <cell r="E164" t="str">
            <v>Recoupment Academy</v>
          </cell>
          <cell r="F164">
            <v>859</v>
          </cell>
          <cell r="G164">
            <v>55594.479999999996</v>
          </cell>
          <cell r="H164">
            <v>19757</v>
          </cell>
        </row>
        <row r="165">
          <cell r="C165">
            <v>6905</v>
          </cell>
          <cell r="D165" t="str">
            <v>Sheffield Park Academy</v>
          </cell>
          <cell r="E165" t="str">
            <v>Recoupment Academy</v>
          </cell>
          <cell r="F165">
            <v>974</v>
          </cell>
          <cell r="G165">
            <v>63037.279999999999</v>
          </cell>
          <cell r="H165">
            <v>22402</v>
          </cell>
        </row>
        <row r="166">
          <cell r="C166">
            <v>6906</v>
          </cell>
          <cell r="D166" t="str">
            <v>Sheffield Springs Academy</v>
          </cell>
          <cell r="E166" t="str">
            <v>Recoupment Academy</v>
          </cell>
          <cell r="F166">
            <v>686</v>
          </cell>
          <cell r="G166">
            <v>44397.919999999998</v>
          </cell>
          <cell r="H166">
            <v>15778</v>
          </cell>
        </row>
        <row r="167">
          <cell r="C167">
            <v>4229</v>
          </cell>
          <cell r="D167" t="str">
            <v>Silverdale School</v>
          </cell>
          <cell r="E167" t="str">
            <v>Recoupment Academy</v>
          </cell>
          <cell r="F167">
            <v>1023</v>
          </cell>
          <cell r="G167">
            <v>66208.56</v>
          </cell>
          <cell r="H167">
            <v>23529</v>
          </cell>
        </row>
        <row r="168">
          <cell r="C168">
            <v>4271</v>
          </cell>
          <cell r="D168" t="str">
            <v>Stocksbridge High School</v>
          </cell>
          <cell r="E168" t="str">
            <v>Recoupment Academy</v>
          </cell>
          <cell r="F168">
            <v>805</v>
          </cell>
          <cell r="G168">
            <v>52099.6</v>
          </cell>
          <cell r="H168">
            <v>18515</v>
          </cell>
        </row>
        <row r="169">
          <cell r="C169">
            <v>4234</v>
          </cell>
          <cell r="D169" t="str">
            <v>Tapton School</v>
          </cell>
          <cell r="E169" t="str">
            <v>Recoupment Academy</v>
          </cell>
          <cell r="F169">
            <v>1268</v>
          </cell>
          <cell r="G169">
            <v>82064.959999999992</v>
          </cell>
          <cell r="H169">
            <v>29164</v>
          </cell>
        </row>
        <row r="170">
          <cell r="C170">
            <v>4004</v>
          </cell>
          <cell r="D170" t="str">
            <v>UTC Sheffield</v>
          </cell>
          <cell r="E170" t="str">
            <v>Recoupment Academy</v>
          </cell>
          <cell r="F170">
            <v>302</v>
          </cell>
          <cell r="G170">
            <v>19545.439999999999</v>
          </cell>
          <cell r="H170">
            <v>6946</v>
          </cell>
        </row>
        <row r="171">
          <cell r="C171">
            <v>4010</v>
          </cell>
          <cell r="D171" t="str">
            <v>UTC Sheffield Olympic Legacy Park</v>
          </cell>
          <cell r="E171" t="str">
            <v>Recoupment Academy</v>
          </cell>
          <cell r="F171">
            <v>306</v>
          </cell>
          <cell r="G171">
            <v>19804.32</v>
          </cell>
          <cell r="H171">
            <v>7038</v>
          </cell>
        </row>
        <row r="172">
          <cell r="C172">
            <v>4252</v>
          </cell>
          <cell r="D172" t="str">
            <v>Westfield School</v>
          </cell>
          <cell r="E172" t="str">
            <v>Recoupment Academy</v>
          </cell>
          <cell r="F172">
            <v>1132</v>
          </cell>
          <cell r="G172">
            <v>73263.039999999994</v>
          </cell>
          <cell r="H172">
            <v>26036</v>
          </cell>
        </row>
        <row r="173">
          <cell r="C173">
            <v>4016</v>
          </cell>
          <cell r="D173" t="str">
            <v>Yewlands Academy</v>
          </cell>
          <cell r="E173" t="str">
            <v>Recoupment Academy</v>
          </cell>
          <cell r="F173">
            <v>870</v>
          </cell>
          <cell r="G173">
            <v>56306.400000000001</v>
          </cell>
          <cell r="H173">
            <v>20010</v>
          </cell>
        </row>
        <row r="175">
          <cell r="D175" t="str">
            <v>Total Secondary</v>
          </cell>
          <cell r="F175">
            <v>26553.5</v>
          </cell>
          <cell r="G175">
            <v>1718542.52</v>
          </cell>
          <cell r="H175">
            <v>610730.5</v>
          </cell>
        </row>
        <row r="177">
          <cell r="D177" t="str">
            <v>Middle Deemed Secondary</v>
          </cell>
        </row>
        <row r="179">
          <cell r="C179">
            <v>4014</v>
          </cell>
          <cell r="D179" t="str">
            <v>Astrea Academy - Woodside x 7/12</v>
          </cell>
          <cell r="F179">
            <v>266.5</v>
          </cell>
          <cell r="G179">
            <v>19218.37</v>
          </cell>
          <cell r="H179">
            <v>6481.19</v>
          </cell>
        </row>
        <row r="180">
          <cell r="C180">
            <v>4225</v>
          </cell>
          <cell r="D180" t="str">
            <v>Hinde House 3-16 School</v>
          </cell>
          <cell r="F180">
            <v>1264</v>
          </cell>
          <cell r="G180">
            <v>96463.75999999998</v>
          </cell>
          <cell r="H180">
            <v>31688.080000000002</v>
          </cell>
        </row>
        <row r="181">
          <cell r="C181">
            <v>4005</v>
          </cell>
          <cell r="D181" t="str">
            <v>Oasis Academy Don Valley</v>
          </cell>
          <cell r="F181">
            <v>519.75</v>
          </cell>
          <cell r="G181">
            <v>44501.842499999992</v>
          </cell>
          <cell r="H181">
            <v>13893.172499999999</v>
          </cell>
        </row>
        <row r="183">
          <cell r="D183" t="str">
            <v>Total Middle Deemed Secondary</v>
          </cell>
          <cell r="F183">
            <v>2050.25</v>
          </cell>
          <cell r="G183">
            <v>160183.97249999997</v>
          </cell>
          <cell r="H183">
            <v>52062.442500000005</v>
          </cell>
        </row>
        <row r="185">
          <cell r="D185" t="str">
            <v>Total Mainstream Schools</v>
          </cell>
          <cell r="F185">
            <v>72330.75</v>
          </cell>
          <cell r="G185">
            <v>6220380.3224999979</v>
          </cell>
          <cell r="H185">
            <v>1938309.5325000007</v>
          </cell>
        </row>
        <row r="186">
          <cell r="F186">
            <v>0</v>
          </cell>
          <cell r="G186">
            <v>0</v>
          </cell>
          <cell r="H186">
            <v>0</v>
          </cell>
        </row>
        <row r="188">
          <cell r="C188">
            <v>4998</v>
          </cell>
          <cell r="D188" t="str">
            <v>Astrea Academy - Woodside x 7/12</v>
          </cell>
          <cell r="E188" t="str">
            <v>Recoupment Academy</v>
          </cell>
          <cell r="F188">
            <v>57</v>
          </cell>
          <cell r="G188">
            <v>5659.5299999999988</v>
          </cell>
          <cell r="H188">
            <v>1662.6899999999998</v>
          </cell>
        </row>
        <row r="189">
          <cell r="C189">
            <v>4998</v>
          </cell>
          <cell r="D189" t="str">
            <v>Astrea Academy - Woodside x 7/12</v>
          </cell>
          <cell r="E189" t="str">
            <v>Recoupment Academy</v>
          </cell>
          <cell r="F189">
            <v>209.5</v>
          </cell>
          <cell r="G189">
            <v>13558.84</v>
          </cell>
          <cell r="H189">
            <v>4818.5</v>
          </cell>
        </row>
        <row r="190">
          <cell r="F190">
            <v>266.5</v>
          </cell>
          <cell r="G190">
            <v>19218.37</v>
          </cell>
          <cell r="H190">
            <v>6481.19</v>
          </cell>
        </row>
        <row r="192">
          <cell r="C192">
            <v>4225</v>
          </cell>
          <cell r="D192" t="str">
            <v>Hinde House - Primary</v>
          </cell>
          <cell r="E192" t="str">
            <v>Recoupment Academy</v>
          </cell>
          <cell r="F192">
            <v>424</v>
          </cell>
          <cell r="G192">
            <v>42098.959999999992</v>
          </cell>
          <cell r="H192">
            <v>12368.08</v>
          </cell>
        </row>
        <row r="193">
          <cell r="C193">
            <v>4225</v>
          </cell>
          <cell r="D193" t="str">
            <v>Hinde House - Secondary</v>
          </cell>
          <cell r="E193" t="str">
            <v>Recoupment Academy</v>
          </cell>
          <cell r="F193">
            <v>840</v>
          </cell>
          <cell r="G193">
            <v>54364.799999999996</v>
          </cell>
          <cell r="H193">
            <v>19320</v>
          </cell>
        </row>
        <row r="194">
          <cell r="F194">
            <v>1264</v>
          </cell>
          <cell r="G194">
            <v>96463.75999999998</v>
          </cell>
          <cell r="H194">
            <v>31688.080000000002</v>
          </cell>
        </row>
        <row r="196">
          <cell r="C196">
            <v>4005</v>
          </cell>
          <cell r="D196" t="str">
            <v>Oasis Academy Don Valley</v>
          </cell>
          <cell r="E196" t="str">
            <v>Recoupment Academy</v>
          </cell>
          <cell r="F196">
            <v>314.25</v>
          </cell>
          <cell r="G196">
            <v>31201.882499999992</v>
          </cell>
          <cell r="H196">
            <v>9166.6724999999988</v>
          </cell>
        </row>
        <row r="197">
          <cell r="C197">
            <v>4005</v>
          </cell>
          <cell r="D197" t="str">
            <v>Oasis Academy Don Valley</v>
          </cell>
          <cell r="E197" t="str">
            <v>Recoupment Academy</v>
          </cell>
          <cell r="F197">
            <v>205.5</v>
          </cell>
          <cell r="G197">
            <v>13299.96</v>
          </cell>
          <cell r="H197">
            <v>4726.5</v>
          </cell>
        </row>
        <row r="198">
          <cell r="F198">
            <v>519.75</v>
          </cell>
          <cell r="G198">
            <v>44501.842499999992</v>
          </cell>
          <cell r="H198">
            <v>13893.172499999999</v>
          </cell>
        </row>
        <row r="200">
          <cell r="F200" t="str">
            <v>Special Swimming</v>
          </cell>
          <cell r="G200">
            <v>8.3000000000000007</v>
          </cell>
        </row>
        <row r="201">
          <cell r="D201" t="str">
            <v>Special</v>
          </cell>
          <cell r="E201" t="str">
            <v>Pri Places</v>
          </cell>
          <cell r="G201">
            <v>111.48999999999998</v>
          </cell>
          <cell r="H201">
            <v>18.350000000000001</v>
          </cell>
        </row>
        <row r="202">
          <cell r="G202">
            <v>1.0000000000000002</v>
          </cell>
          <cell r="H202">
            <v>0.16458875235447129</v>
          </cell>
        </row>
        <row r="203">
          <cell r="C203">
            <v>7038</v>
          </cell>
          <cell r="D203" t="str">
            <v>Becton</v>
          </cell>
          <cell r="E203">
            <v>18</v>
          </cell>
          <cell r="F203">
            <v>75</v>
          </cell>
          <cell r="G203">
            <v>7888.6499999999987</v>
          </cell>
          <cell r="H203">
            <v>1376.25</v>
          </cell>
        </row>
        <row r="204">
          <cell r="C204">
            <v>7010</v>
          </cell>
          <cell r="D204" t="str">
            <v>Bents Green</v>
          </cell>
          <cell r="E204">
            <v>0</v>
          </cell>
          <cell r="F204">
            <v>204</v>
          </cell>
          <cell r="G204">
            <v>21050.76</v>
          </cell>
          <cell r="H204">
            <v>3743.4</v>
          </cell>
        </row>
        <row r="205">
          <cell r="C205">
            <v>7040</v>
          </cell>
          <cell r="D205" t="str">
            <v>Heritage Park Community</v>
          </cell>
          <cell r="E205">
            <v>14</v>
          </cell>
          <cell r="F205">
            <v>102</v>
          </cell>
          <cell r="G205">
            <v>10641.58</v>
          </cell>
          <cell r="H205">
            <v>1871.7</v>
          </cell>
        </row>
        <row r="206">
          <cell r="C206">
            <v>7041</v>
          </cell>
          <cell r="D206" t="str">
            <v>Holgate Meadows Community</v>
          </cell>
          <cell r="E206">
            <v>13</v>
          </cell>
          <cell r="F206">
            <v>101</v>
          </cell>
          <cell r="G206">
            <v>10530.089999999998</v>
          </cell>
          <cell r="H206">
            <v>1853.3500000000001</v>
          </cell>
        </row>
        <row r="207">
          <cell r="C207">
            <v>7036</v>
          </cell>
          <cell r="D207" t="str">
            <v>Mossbrook IJ</v>
          </cell>
          <cell r="E207">
            <v>116</v>
          </cell>
          <cell r="F207">
            <v>116</v>
          </cell>
          <cell r="G207">
            <v>12932.839999999997</v>
          </cell>
          <cell r="H207">
            <v>2128.6000000000004</v>
          </cell>
        </row>
        <row r="208">
          <cell r="C208">
            <v>7023</v>
          </cell>
          <cell r="D208" t="str">
            <v>Norfolk Park NIJ</v>
          </cell>
          <cell r="E208">
            <v>93.5</v>
          </cell>
          <cell r="F208">
            <v>93.5</v>
          </cell>
          <cell r="G208">
            <v>10424.314999999997</v>
          </cell>
          <cell r="H208">
            <v>1715.7250000000001</v>
          </cell>
        </row>
        <row r="209">
          <cell r="C209">
            <v>7043</v>
          </cell>
          <cell r="D209" t="str">
            <v>Seven Hills</v>
          </cell>
          <cell r="E209">
            <v>0</v>
          </cell>
          <cell r="F209">
            <v>165</v>
          </cell>
          <cell r="G209">
            <v>17026.349999999999</v>
          </cell>
          <cell r="H209">
            <v>3027.7500000000005</v>
          </cell>
        </row>
        <row r="210">
          <cell r="C210">
            <v>7024</v>
          </cell>
          <cell r="D210" t="str">
            <v>Talbot Sec</v>
          </cell>
          <cell r="E210">
            <v>0</v>
          </cell>
          <cell r="F210">
            <v>172</v>
          </cell>
          <cell r="G210">
            <v>17748.679999999997</v>
          </cell>
          <cell r="H210">
            <v>3156.2000000000003</v>
          </cell>
        </row>
        <row r="211">
          <cell r="C211">
            <v>7013</v>
          </cell>
          <cell r="D211" t="str">
            <v>The Rowan IJ</v>
          </cell>
          <cell r="E211">
            <v>97</v>
          </cell>
          <cell r="F211">
            <v>97</v>
          </cell>
          <cell r="G211">
            <v>10814.529999999999</v>
          </cell>
          <cell r="H211">
            <v>1779.95</v>
          </cell>
        </row>
        <row r="212">
          <cell r="C212">
            <v>7026</v>
          </cell>
          <cell r="D212" t="str">
            <v>Woolley  Wood NIJ</v>
          </cell>
          <cell r="E212">
            <v>101.5</v>
          </cell>
          <cell r="F212">
            <v>101.5</v>
          </cell>
          <cell r="G212">
            <v>11316.234999999999</v>
          </cell>
          <cell r="H212">
            <v>1862.5250000000001</v>
          </cell>
        </row>
        <row r="214">
          <cell r="D214" t="str">
            <v>Total Special</v>
          </cell>
          <cell r="E214">
            <v>453</v>
          </cell>
          <cell r="F214">
            <v>1227</v>
          </cell>
          <cell r="G214">
            <v>130374.02999999998</v>
          </cell>
          <cell r="H214">
            <v>22515.45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D216" t="str">
            <v>TOTAL ALL SCHOOLS</v>
          </cell>
          <cell r="F216">
            <v>73557.75</v>
          </cell>
          <cell r="G216">
            <v>6350754.3524999982</v>
          </cell>
          <cell r="H216">
            <v>1960824.9825000006</v>
          </cell>
        </row>
        <row r="217">
          <cell r="G217">
            <v>0</v>
          </cell>
        </row>
        <row r="219">
          <cell r="G219" t="str">
            <v>Add Deleg</v>
          </cell>
          <cell r="H219" t="str">
            <v>De-deleg</v>
          </cell>
        </row>
        <row r="220">
          <cell r="D220" t="str">
            <v>Maintained</v>
          </cell>
          <cell r="F220">
            <v>27392</v>
          </cell>
          <cell r="G220">
            <v>2688783.3699999992</v>
          </cell>
          <cell r="H220">
            <v>778696.18999999959</v>
          </cell>
        </row>
        <row r="221">
          <cell r="D221" t="str">
            <v>Academies</v>
          </cell>
          <cell r="F221">
            <v>46165.75</v>
          </cell>
          <cell r="G221">
            <v>3661970.9824999985</v>
          </cell>
          <cell r="H221">
            <v>1182128.7925</v>
          </cell>
        </row>
        <row r="222">
          <cell r="D222" t="str">
            <v>Total</v>
          </cell>
          <cell r="F222">
            <v>73557.75</v>
          </cell>
          <cell r="G222">
            <v>6350754.3524999972</v>
          </cell>
          <cell r="H222">
            <v>1960824.9824999995</v>
          </cell>
        </row>
        <row r="228">
          <cell r="D228" t="str">
            <v>Primary</v>
          </cell>
          <cell r="F228">
            <v>44522.25</v>
          </cell>
          <cell r="G228">
            <v>4420614.2024999987</v>
          </cell>
          <cell r="H228">
            <v>1298714.0325000007</v>
          </cell>
        </row>
        <row r="229">
          <cell r="D229" t="str">
            <v>Secondary</v>
          </cell>
          <cell r="F229">
            <v>27808.5</v>
          </cell>
          <cell r="G229">
            <v>1799766.12</v>
          </cell>
          <cell r="H229">
            <v>639595.5</v>
          </cell>
        </row>
        <row r="230">
          <cell r="D230" t="str">
            <v>Special</v>
          </cell>
          <cell r="F230">
            <v>1227</v>
          </cell>
          <cell r="G230">
            <v>130374.02999999998</v>
          </cell>
          <cell r="H230">
            <v>22515.45</v>
          </cell>
        </row>
        <row r="231">
          <cell r="F231">
            <v>73557.75</v>
          </cell>
          <cell r="G231">
            <v>6350754.3524999991</v>
          </cell>
          <cell r="H231">
            <v>1960824.9825000006</v>
          </cell>
        </row>
        <row r="232">
          <cell r="F232">
            <v>0</v>
          </cell>
          <cell r="G232">
            <v>0</v>
          </cell>
          <cell r="H232">
            <v>0</v>
          </cell>
        </row>
        <row r="233">
          <cell r="D233" t="str">
            <v>Primary</v>
          </cell>
        </row>
        <row r="234">
          <cell r="D234" t="str">
            <v>Maintained</v>
          </cell>
          <cell r="F234">
            <v>25022</v>
          </cell>
          <cell r="G234">
            <v>2484434.38</v>
          </cell>
          <cell r="H234">
            <v>729891.73999999976</v>
          </cell>
        </row>
        <row r="235">
          <cell r="D235" t="str">
            <v>Academies</v>
          </cell>
          <cell r="F235">
            <v>19500.25</v>
          </cell>
          <cell r="G235">
            <v>1936179.8224999998</v>
          </cell>
          <cell r="H235">
            <v>568822.29249999975</v>
          </cell>
        </row>
        <row r="236">
          <cell r="D236" t="str">
            <v>Total</v>
          </cell>
          <cell r="F236">
            <v>44522.25</v>
          </cell>
          <cell r="G236">
            <v>4420614.2024999997</v>
          </cell>
          <cell r="H236">
            <v>1298714.0324999995</v>
          </cell>
        </row>
        <row r="237">
          <cell r="F237">
            <v>0</v>
          </cell>
          <cell r="G237">
            <v>1.469743438065052E-9</v>
          </cell>
          <cell r="H237">
            <v>-1.0422809282317758E-9</v>
          </cell>
        </row>
        <row r="238">
          <cell r="D238" t="str">
            <v>Secondary</v>
          </cell>
        </row>
        <row r="239">
          <cell r="D239" t="str">
            <v>Maintained</v>
          </cell>
          <cell r="F239">
            <v>1143</v>
          </cell>
          <cell r="G239">
            <v>73974.959999999992</v>
          </cell>
          <cell r="H239">
            <v>26289</v>
          </cell>
        </row>
        <row r="240">
          <cell r="D240" t="str">
            <v>Academies</v>
          </cell>
          <cell r="F240">
            <v>26665.5</v>
          </cell>
          <cell r="G240">
            <v>1725791.1600000001</v>
          </cell>
          <cell r="H240">
            <v>613306.5</v>
          </cell>
        </row>
        <row r="241">
          <cell r="D241" t="str">
            <v>Total</v>
          </cell>
          <cell r="F241">
            <v>27808.5</v>
          </cell>
          <cell r="G241">
            <v>1799766.12</v>
          </cell>
          <cell r="H241">
            <v>639595.5</v>
          </cell>
        </row>
        <row r="242">
          <cell r="F242">
            <v>0</v>
          </cell>
          <cell r="G242">
            <v>9.822542779147625E-11</v>
          </cell>
          <cell r="H242">
            <v>0</v>
          </cell>
        </row>
        <row r="244">
          <cell r="D244" t="str">
            <v>Primary</v>
          </cell>
        </row>
        <row r="245">
          <cell r="D245" t="str">
            <v>Maintained</v>
          </cell>
          <cell r="F245">
            <v>25022</v>
          </cell>
          <cell r="G245">
            <v>2484434.38</v>
          </cell>
          <cell r="H245">
            <v>729891.73999999976</v>
          </cell>
        </row>
        <row r="246">
          <cell r="D246" t="str">
            <v>Academies</v>
          </cell>
          <cell r="F246">
            <v>19500.25</v>
          </cell>
          <cell r="G246">
            <v>1936179.8224999998</v>
          </cell>
          <cell r="H246">
            <v>568822.29249999975</v>
          </cell>
        </row>
        <row r="247">
          <cell r="D247" t="str">
            <v>Total</v>
          </cell>
          <cell r="F247">
            <v>44522.25</v>
          </cell>
          <cell r="G247">
            <v>4420614.2024999997</v>
          </cell>
          <cell r="H247">
            <v>1298714.0324999995</v>
          </cell>
        </row>
        <row r="248">
          <cell r="F248">
            <v>0</v>
          </cell>
          <cell r="G248">
            <v>1.469743438065052E-9</v>
          </cell>
          <cell r="H248">
            <v>-1.0422809282317758E-9</v>
          </cell>
        </row>
        <row r="249">
          <cell r="D249" t="str">
            <v>Secondary</v>
          </cell>
        </row>
        <row r="250">
          <cell r="D250" t="str">
            <v>Maintained</v>
          </cell>
          <cell r="F250">
            <v>1143</v>
          </cell>
          <cell r="G250">
            <v>73974.959999999992</v>
          </cell>
          <cell r="H250">
            <v>26289</v>
          </cell>
        </row>
        <row r="251">
          <cell r="D251" t="str">
            <v>Academies</v>
          </cell>
          <cell r="F251">
            <v>26665.5</v>
          </cell>
          <cell r="G251">
            <v>1725791.1600000001</v>
          </cell>
          <cell r="H251">
            <v>613306.5</v>
          </cell>
        </row>
        <row r="252">
          <cell r="D252" t="str">
            <v>Total</v>
          </cell>
          <cell r="F252">
            <v>27808.5</v>
          </cell>
          <cell r="G252">
            <v>1799766.12</v>
          </cell>
          <cell r="H252">
            <v>639595.5</v>
          </cell>
        </row>
        <row r="254">
          <cell r="D254" t="str">
            <v>Total All Schools Excl. Special</v>
          </cell>
          <cell r="F254">
            <v>72330.75</v>
          </cell>
          <cell r="G254">
            <v>6220380.3224999998</v>
          </cell>
          <cell r="H254">
            <v>1938309.5324999995</v>
          </cell>
        </row>
        <row r="255">
          <cell r="F255">
            <v>72330.75</v>
          </cell>
          <cell r="G255">
            <v>6220380.3224999979</v>
          </cell>
          <cell r="H255">
            <v>1938309.5325000007</v>
          </cell>
        </row>
        <row r="256">
          <cell r="G256">
            <v>0</v>
          </cell>
          <cell r="H256">
            <v>0</v>
          </cell>
        </row>
        <row r="257">
          <cell r="D257" t="str">
            <v>Maintained</v>
          </cell>
          <cell r="F257">
            <v>27392</v>
          </cell>
          <cell r="G257">
            <v>2688783.3699999992</v>
          </cell>
          <cell r="H257">
            <v>778696.18999999959</v>
          </cell>
        </row>
        <row r="258">
          <cell r="D258" t="str">
            <v>Academies</v>
          </cell>
          <cell r="F258">
            <v>46165.75</v>
          </cell>
          <cell r="G258">
            <v>3661970.9824999985</v>
          </cell>
          <cell r="H258">
            <v>1182128.7925</v>
          </cell>
        </row>
        <row r="259">
          <cell r="D259" t="str">
            <v>Total</v>
          </cell>
          <cell r="F259">
            <v>73557.75</v>
          </cell>
          <cell r="G259">
            <v>6350754.3524999972</v>
          </cell>
          <cell r="H259">
            <v>1960824.9824999995</v>
          </cell>
        </row>
        <row r="260">
          <cell r="F260">
            <v>0</v>
          </cell>
          <cell r="G260">
            <v>0</v>
          </cell>
          <cell r="H260">
            <v>0</v>
          </cell>
        </row>
      </sheetData>
      <sheetData sheetId="15" refreshError="1">
        <row r="1">
          <cell r="F1" t="str">
            <v>Secondary AWPU Funding</v>
          </cell>
          <cell r="G1" t="str">
            <v>2019-20</v>
          </cell>
        </row>
        <row r="4">
          <cell r="E4" t="str">
            <v>DfE</v>
          </cell>
          <cell r="F4" t="str">
            <v>School</v>
          </cell>
          <cell r="G4" t="str">
            <v>KS3</v>
          </cell>
          <cell r="H4" t="str">
            <v>KS4</v>
          </cell>
          <cell r="I4" t="str">
            <v>Total</v>
          </cell>
        </row>
        <row r="6">
          <cell r="E6">
            <v>5401</v>
          </cell>
          <cell r="F6" t="str">
            <v>All Saints' Catholic High School</v>
          </cell>
          <cell r="G6">
            <v>614</v>
          </cell>
          <cell r="H6">
            <v>415</v>
          </cell>
          <cell r="I6">
            <v>1029</v>
          </cell>
        </row>
        <row r="7">
          <cell r="E7">
            <v>4276</v>
          </cell>
          <cell r="F7" t="str">
            <v>The Birley Academy</v>
          </cell>
          <cell r="G7">
            <v>685</v>
          </cell>
          <cell r="H7">
            <v>454</v>
          </cell>
          <cell r="I7">
            <v>1139</v>
          </cell>
        </row>
        <row r="8">
          <cell r="E8">
            <v>4272</v>
          </cell>
          <cell r="F8" t="str">
            <v>Bradfield School</v>
          </cell>
          <cell r="G8">
            <v>616</v>
          </cell>
          <cell r="H8">
            <v>344</v>
          </cell>
          <cell r="I8">
            <v>960</v>
          </cell>
        </row>
        <row r="9">
          <cell r="E9">
            <v>4000</v>
          </cell>
          <cell r="F9" t="str">
            <v>Chaucer School</v>
          </cell>
          <cell r="G9">
            <v>552</v>
          </cell>
          <cell r="H9">
            <v>288</v>
          </cell>
          <cell r="I9">
            <v>840</v>
          </cell>
        </row>
        <row r="10">
          <cell r="E10">
            <v>4012</v>
          </cell>
          <cell r="F10" t="str">
            <v>Ecclesfield School</v>
          </cell>
          <cell r="G10">
            <v>1035</v>
          </cell>
          <cell r="H10">
            <v>666</v>
          </cell>
          <cell r="I10">
            <v>1701</v>
          </cell>
        </row>
        <row r="11">
          <cell r="E11">
            <v>4280</v>
          </cell>
          <cell r="F11" t="str">
            <v>Fir Vale School</v>
          </cell>
          <cell r="G11">
            <v>652</v>
          </cell>
          <cell r="H11">
            <v>409</v>
          </cell>
          <cell r="I11">
            <v>1061</v>
          </cell>
        </row>
        <row r="12">
          <cell r="E12">
            <v>4003</v>
          </cell>
          <cell r="F12" t="str">
            <v>Firth Park Academy</v>
          </cell>
          <cell r="G12">
            <v>714</v>
          </cell>
          <cell r="H12">
            <v>432</v>
          </cell>
          <cell r="I12">
            <v>1146</v>
          </cell>
        </row>
        <row r="13">
          <cell r="E13">
            <v>4007</v>
          </cell>
          <cell r="F13" t="str">
            <v>Forge Valley School</v>
          </cell>
          <cell r="G13">
            <v>707</v>
          </cell>
          <cell r="H13">
            <v>415</v>
          </cell>
          <cell r="I13">
            <v>1122</v>
          </cell>
        </row>
        <row r="14">
          <cell r="E14">
            <v>4278</v>
          </cell>
          <cell r="F14" t="str">
            <v>Handsworth Grange Community Sports College</v>
          </cell>
          <cell r="G14">
            <v>604</v>
          </cell>
          <cell r="H14">
            <v>409</v>
          </cell>
          <cell r="I14">
            <v>1013</v>
          </cell>
        </row>
        <row r="15">
          <cell r="E15">
            <v>4257</v>
          </cell>
          <cell r="F15" t="str">
            <v>High Storrs School</v>
          </cell>
          <cell r="G15">
            <v>722</v>
          </cell>
          <cell r="H15">
            <v>485</v>
          </cell>
          <cell r="I15">
            <v>1207</v>
          </cell>
        </row>
        <row r="16">
          <cell r="E16">
            <v>4230</v>
          </cell>
          <cell r="F16" t="str">
            <v>King Ecgbert School</v>
          </cell>
          <cell r="G16">
            <v>612</v>
          </cell>
          <cell r="H16">
            <v>391</v>
          </cell>
          <cell r="I16">
            <v>1003</v>
          </cell>
        </row>
        <row r="17">
          <cell r="E17">
            <v>4259</v>
          </cell>
          <cell r="F17" t="str">
            <v>King Edward VII School</v>
          </cell>
          <cell r="G17">
            <v>684</v>
          </cell>
          <cell r="H17">
            <v>459</v>
          </cell>
          <cell r="I17">
            <v>1143</v>
          </cell>
        </row>
        <row r="18">
          <cell r="E18">
            <v>4279</v>
          </cell>
          <cell r="F18" t="str">
            <v>Meadowhead School Academy Trust</v>
          </cell>
          <cell r="G18">
            <v>965</v>
          </cell>
          <cell r="H18">
            <v>636</v>
          </cell>
          <cell r="I18">
            <v>1601</v>
          </cell>
        </row>
        <row r="19">
          <cell r="E19">
            <v>4015</v>
          </cell>
          <cell r="F19" t="str">
            <v>Mercia Academy</v>
          </cell>
          <cell r="G19">
            <v>211.5</v>
          </cell>
          <cell r="H19">
            <v>0</v>
          </cell>
          <cell r="I19">
            <v>211.5</v>
          </cell>
        </row>
        <row r="20">
          <cell r="E20">
            <v>4008</v>
          </cell>
          <cell r="F20" t="str">
            <v>Newfield Secondary School</v>
          </cell>
          <cell r="G20">
            <v>635</v>
          </cell>
          <cell r="H20">
            <v>401</v>
          </cell>
          <cell r="I20">
            <v>1036</v>
          </cell>
        </row>
        <row r="21">
          <cell r="E21">
            <v>5400</v>
          </cell>
          <cell r="F21" t="str">
            <v>Notre Dame High School</v>
          </cell>
          <cell r="G21">
            <v>655</v>
          </cell>
          <cell r="H21">
            <v>416</v>
          </cell>
          <cell r="I21">
            <v>1071</v>
          </cell>
        </row>
        <row r="22">
          <cell r="E22">
            <v>4006</v>
          </cell>
          <cell r="F22" t="str">
            <v>Outwood Academy City</v>
          </cell>
          <cell r="G22">
            <v>688</v>
          </cell>
          <cell r="H22">
            <v>357</v>
          </cell>
          <cell r="I22">
            <v>1045</v>
          </cell>
        </row>
        <row r="23">
          <cell r="E23">
            <v>6907</v>
          </cell>
          <cell r="F23" t="str">
            <v>Parkwood E-Act Academy</v>
          </cell>
          <cell r="G23">
            <v>526</v>
          </cell>
          <cell r="H23">
            <v>333</v>
          </cell>
          <cell r="I23">
            <v>859</v>
          </cell>
        </row>
        <row r="24">
          <cell r="E24">
            <v>6905</v>
          </cell>
          <cell r="F24" t="str">
            <v>Sheffield Park Academy</v>
          </cell>
          <cell r="G24">
            <v>625</v>
          </cell>
          <cell r="H24">
            <v>349</v>
          </cell>
          <cell r="I24">
            <v>974</v>
          </cell>
        </row>
        <row r="25">
          <cell r="E25">
            <v>6906</v>
          </cell>
          <cell r="F25" t="str">
            <v>Sheffield Springs Academy</v>
          </cell>
          <cell r="G25">
            <v>436</v>
          </cell>
          <cell r="H25">
            <v>250</v>
          </cell>
          <cell r="I25">
            <v>686</v>
          </cell>
        </row>
        <row r="26">
          <cell r="E26">
            <v>4229</v>
          </cell>
          <cell r="F26" t="str">
            <v>Silverdale School</v>
          </cell>
          <cell r="G26">
            <v>659</v>
          </cell>
          <cell r="H26">
            <v>364</v>
          </cell>
          <cell r="I26">
            <v>1023</v>
          </cell>
        </row>
        <row r="27">
          <cell r="E27">
            <v>4271</v>
          </cell>
          <cell r="F27" t="str">
            <v>Stocksbridge High School</v>
          </cell>
          <cell r="G27">
            <v>476</v>
          </cell>
          <cell r="H27">
            <v>329</v>
          </cell>
          <cell r="I27">
            <v>805</v>
          </cell>
        </row>
        <row r="28">
          <cell r="E28">
            <v>4234</v>
          </cell>
          <cell r="F28" t="str">
            <v>Tapton School</v>
          </cell>
          <cell r="G28">
            <v>784</v>
          </cell>
          <cell r="H28">
            <v>484</v>
          </cell>
          <cell r="I28">
            <v>1268</v>
          </cell>
        </row>
        <row r="29">
          <cell r="E29">
            <v>4004</v>
          </cell>
          <cell r="F29" t="str">
            <v>UTC Sheffield</v>
          </cell>
          <cell r="G29">
            <v>90</v>
          </cell>
          <cell r="H29">
            <v>212</v>
          </cell>
          <cell r="I29">
            <v>302</v>
          </cell>
        </row>
        <row r="30">
          <cell r="E30">
            <v>4010</v>
          </cell>
          <cell r="F30" t="str">
            <v>UTC Sheffield Olympic Legacy Park</v>
          </cell>
          <cell r="G30">
            <v>97</v>
          </cell>
          <cell r="H30">
            <v>209</v>
          </cell>
          <cell r="I30">
            <v>306</v>
          </cell>
        </row>
        <row r="31">
          <cell r="E31">
            <v>4252</v>
          </cell>
          <cell r="F31" t="str">
            <v>Westfield School</v>
          </cell>
          <cell r="G31">
            <v>654</v>
          </cell>
          <cell r="H31">
            <v>478</v>
          </cell>
          <cell r="I31">
            <v>1132</v>
          </cell>
        </row>
        <row r="32">
          <cell r="E32">
            <v>4016</v>
          </cell>
          <cell r="F32" t="str">
            <v>Yewlands Academy</v>
          </cell>
          <cell r="G32">
            <v>533</v>
          </cell>
          <cell r="H32">
            <v>337</v>
          </cell>
          <cell r="I32">
            <v>870</v>
          </cell>
        </row>
        <row r="34">
          <cell r="F34" t="str">
            <v>Total Secondary</v>
          </cell>
          <cell r="G34">
            <v>16231.5</v>
          </cell>
          <cell r="H34">
            <v>10322</v>
          </cell>
          <cell r="I34">
            <v>26553.5</v>
          </cell>
        </row>
        <row r="36">
          <cell r="F36" t="str">
            <v>Middle Deemed Secondary</v>
          </cell>
        </row>
        <row r="38">
          <cell r="E38">
            <v>4014</v>
          </cell>
          <cell r="F38" t="str">
            <v>Astrea Academy - Woodside x 7/12</v>
          </cell>
          <cell r="G38">
            <v>209.5</v>
          </cell>
          <cell r="H38">
            <v>0</v>
          </cell>
          <cell r="I38">
            <v>209.5</v>
          </cell>
        </row>
        <row r="39">
          <cell r="E39">
            <v>4225</v>
          </cell>
          <cell r="F39" t="str">
            <v>Hinde House 3-16 School</v>
          </cell>
          <cell r="G39">
            <v>498</v>
          </cell>
          <cell r="H39">
            <v>342</v>
          </cell>
          <cell r="I39">
            <v>840</v>
          </cell>
        </row>
        <row r="40">
          <cell r="E40">
            <v>4005</v>
          </cell>
          <cell r="F40" t="str">
            <v>Oasis Academy Don Valley</v>
          </cell>
          <cell r="G40">
            <v>205.5</v>
          </cell>
          <cell r="H40">
            <v>0</v>
          </cell>
          <cell r="I40">
            <v>205.5</v>
          </cell>
        </row>
        <row r="42">
          <cell r="F42" t="str">
            <v>Total Secondary</v>
          </cell>
          <cell r="G42">
            <v>17144.5</v>
          </cell>
          <cell r="H42">
            <v>10664</v>
          </cell>
          <cell r="I42">
            <v>27808.5</v>
          </cell>
        </row>
        <row r="43">
          <cell r="I43">
            <v>0</v>
          </cell>
        </row>
      </sheetData>
      <sheetData sheetId="16" refreshError="1">
        <row r="1">
          <cell r="E1" t="str">
            <v>FSM Funding</v>
          </cell>
        </row>
        <row r="188">
          <cell r="I188">
            <v>5.1818181818181808</v>
          </cell>
        </row>
        <row r="189">
          <cell r="I189">
            <v>78.99180327868855</v>
          </cell>
        </row>
        <row r="192">
          <cell r="I192">
            <v>123.9999999999999</v>
          </cell>
        </row>
        <row r="193">
          <cell r="I193">
            <v>260.0000000000004</v>
          </cell>
        </row>
        <row r="196">
          <cell r="I196">
            <v>92.677118644067747</v>
          </cell>
        </row>
        <row r="197">
          <cell r="I197">
            <v>67.919491525423695</v>
          </cell>
        </row>
      </sheetData>
      <sheetData sheetId="17" refreshError="1">
        <row r="1">
          <cell r="E1" t="str">
            <v>IDACI Funding</v>
          </cell>
        </row>
        <row r="155">
          <cell r="E155">
            <v>4014</v>
          </cell>
          <cell r="F155" t="str">
            <v>Astrea Academy - Woodside x 7/12</v>
          </cell>
          <cell r="G155">
            <v>0</v>
          </cell>
          <cell r="H155">
            <v>0.5</v>
          </cell>
          <cell r="I155">
            <v>0.13636363636363599</v>
          </cell>
          <cell r="J155">
            <v>0.27272727272727298</v>
          </cell>
          <cell r="K155">
            <v>4.5454545454545497E-2</v>
          </cell>
          <cell r="L155">
            <v>4.5454545454545497E-2</v>
          </cell>
          <cell r="M155">
            <v>0</v>
          </cell>
          <cell r="N155">
            <v>1</v>
          </cell>
          <cell r="P155">
            <v>0</v>
          </cell>
          <cell r="Q155">
            <v>28.5</v>
          </cell>
          <cell r="R155">
            <v>7.7727272727272512</v>
          </cell>
          <cell r="S155">
            <v>15.545454545454561</v>
          </cell>
          <cell r="T155">
            <v>2.5909090909090935</v>
          </cell>
          <cell r="U155">
            <v>2.5909090909090935</v>
          </cell>
          <cell r="V155">
            <v>0</v>
          </cell>
          <cell r="W155">
            <v>57</v>
          </cell>
          <cell r="Y155">
            <v>0</v>
          </cell>
          <cell r="Z155">
            <v>9037.9650143985236</v>
          </cell>
          <cell r="AA155">
            <v>1971.919639505127</v>
          </cell>
          <cell r="AB155">
            <v>2957.8794592577015</v>
          </cell>
          <cell r="AC155">
            <v>328.65327325085576</v>
          </cell>
          <cell r="AD155">
            <v>328.65327325085576</v>
          </cell>
          <cell r="AE155">
            <v>14625.070659663063</v>
          </cell>
        </row>
        <row r="156">
          <cell r="E156">
            <v>4225</v>
          </cell>
          <cell r="F156" t="str">
            <v>Hinde House 3-16 School</v>
          </cell>
          <cell r="G156">
            <v>4.7169811320754698E-3</v>
          </cell>
          <cell r="H156">
            <v>0.64386792452830199</v>
          </cell>
          <cell r="I156">
            <v>0.26179245283018898</v>
          </cell>
          <cell r="J156">
            <v>1.1792452830188699E-2</v>
          </cell>
          <cell r="K156">
            <v>7.0754716981132103E-3</v>
          </cell>
          <cell r="L156">
            <v>6.6037735849056603E-2</v>
          </cell>
          <cell r="M156">
            <v>4.7169811320754698E-3</v>
          </cell>
          <cell r="N156">
            <v>1.0000000000000002</v>
          </cell>
          <cell r="P156">
            <v>1.9999999999999991</v>
          </cell>
          <cell r="Q156">
            <v>273.00000000000006</v>
          </cell>
          <cell r="R156">
            <v>111.00000000000013</v>
          </cell>
          <cell r="S156">
            <v>5.0000000000000089</v>
          </cell>
          <cell r="T156">
            <v>3.0000000000000013</v>
          </cell>
          <cell r="U156">
            <v>28</v>
          </cell>
          <cell r="V156">
            <v>1.9999999999999991</v>
          </cell>
          <cell r="W156">
            <v>424</v>
          </cell>
          <cell r="Y156">
            <v>761.09179068619108</v>
          </cell>
          <cell r="Z156">
            <v>86574.191190554295</v>
          </cell>
          <cell r="AA156">
            <v>28160.396255389118</v>
          </cell>
          <cell r="AB156">
            <v>951.36473835774098</v>
          </cell>
          <cell r="AC156">
            <v>380.54589534309588</v>
          </cell>
          <cell r="AD156">
            <v>3551.7616898688934</v>
          </cell>
          <cell r="AE156">
            <v>120379.35156019933</v>
          </cell>
        </row>
        <row r="157">
          <cell r="E157">
            <v>4005</v>
          </cell>
          <cell r="F157" t="str">
            <v>Oasis Academy Don Valley</v>
          </cell>
          <cell r="G157">
            <v>1.6949152542372899E-2</v>
          </cell>
          <cell r="H157">
            <v>0.53898305084745801</v>
          </cell>
          <cell r="I157">
            <v>0.338983050847458</v>
          </cell>
          <cell r="J157">
            <v>3.3898305084745797E-2</v>
          </cell>
          <cell r="K157">
            <v>3.0508474576271202E-2</v>
          </cell>
          <cell r="L157">
            <v>2.7118644067796599E-2</v>
          </cell>
          <cell r="M157">
            <v>1.3559322033898299E-2</v>
          </cell>
          <cell r="N157">
            <v>1.0000000000000007</v>
          </cell>
          <cell r="P157">
            <v>5.3262711864406835</v>
          </cell>
          <cell r="Q157">
            <v>169.37542372881367</v>
          </cell>
          <cell r="R157">
            <v>106.52542372881368</v>
          </cell>
          <cell r="S157">
            <v>10.652542372881367</v>
          </cell>
          <cell r="T157">
            <v>9.5872881355932247</v>
          </cell>
          <cell r="U157">
            <v>8.5220338983050805</v>
          </cell>
          <cell r="V157">
            <v>4.2610169491525403</v>
          </cell>
          <cell r="W157">
            <v>314.25</v>
          </cell>
          <cell r="Y157">
            <v>2026.8906374842027</v>
          </cell>
          <cell r="Z157">
            <v>53712.601893331353</v>
          </cell>
          <cell r="AA157">
            <v>27025.208499789373</v>
          </cell>
          <cell r="AB157">
            <v>2026.8906374842027</v>
          </cell>
          <cell r="AC157">
            <v>1216.1343824905209</v>
          </cell>
          <cell r="AD157">
            <v>1081.0083399915732</v>
          </cell>
          <cell r="AE157">
            <v>87088.734390571233</v>
          </cell>
        </row>
        <row r="190">
          <cell r="E190">
            <v>4014</v>
          </cell>
          <cell r="F190" t="str">
            <v>Astrea Academy - Woodside x 7/12</v>
          </cell>
          <cell r="G190">
            <v>3.2786885245901599E-2</v>
          </cell>
          <cell r="H190">
            <v>0.59016393442623005</v>
          </cell>
          <cell r="I190">
            <v>0.13114754098360701</v>
          </cell>
          <cell r="J190">
            <v>0.13114754098360701</v>
          </cell>
          <cell r="K190">
            <v>1.63934426229508E-2</v>
          </cell>
          <cell r="L190">
            <v>8.1967213114754106E-2</v>
          </cell>
          <cell r="M190">
            <v>1.63934426229508E-2</v>
          </cell>
          <cell r="N190">
            <v>1.0000000000000013</v>
          </cell>
          <cell r="P190">
            <v>6.8688524590163853</v>
          </cell>
          <cell r="Q190">
            <v>123.6393442622952</v>
          </cell>
          <cell r="R190">
            <v>27.475409836065669</v>
          </cell>
          <cell r="S190">
            <v>27.475409836065669</v>
          </cell>
          <cell r="T190">
            <v>3.4344262295081927</v>
          </cell>
          <cell r="U190">
            <v>17.172131147540984</v>
          </cell>
          <cell r="V190">
            <v>3.4344262295081927</v>
          </cell>
          <cell r="W190">
            <v>209.5</v>
          </cell>
          <cell r="Y190">
            <v>3351.8662941233438</v>
          </cell>
          <cell r="Z190">
            <v>50277.994411850261</v>
          </cell>
          <cell r="AA190">
            <v>8938.3101176622913</v>
          </cell>
          <cell r="AB190">
            <v>6703.7325882467185</v>
          </cell>
          <cell r="AC190">
            <v>558.64438235389059</v>
          </cell>
          <cell r="AD190">
            <v>2793.2219117694563</v>
          </cell>
          <cell r="AE190">
            <v>72623.769706005958</v>
          </cell>
        </row>
        <row r="191">
          <cell r="E191">
            <v>4225</v>
          </cell>
          <cell r="F191" t="str">
            <v>Hinde House 3-16 School</v>
          </cell>
          <cell r="G191">
            <v>3.57142857142857E-3</v>
          </cell>
          <cell r="H191">
            <v>0.29642857142857099</v>
          </cell>
          <cell r="I191">
            <v>0.27261904761904798</v>
          </cell>
          <cell r="J191">
            <v>3.9285714285714299E-2</v>
          </cell>
          <cell r="K191">
            <v>0.16547619047619</v>
          </cell>
          <cell r="L191">
            <v>0.136904761904762</v>
          </cell>
          <cell r="M191">
            <v>8.5714285714285701E-2</v>
          </cell>
          <cell r="N191">
            <v>0.99999999999999956</v>
          </cell>
          <cell r="P191">
            <v>2.9999999999999987</v>
          </cell>
          <cell r="Q191">
            <v>248.99999999999963</v>
          </cell>
          <cell r="R191">
            <v>229.00000000000031</v>
          </cell>
          <cell r="S191">
            <v>33.000000000000014</v>
          </cell>
          <cell r="T191">
            <v>138.9999999999996</v>
          </cell>
          <cell r="U191">
            <v>115.00000000000009</v>
          </cell>
          <cell r="V191">
            <v>71.999999999999986</v>
          </cell>
          <cell r="W191">
            <v>840</v>
          </cell>
          <cell r="Y191">
            <v>1463.9416033999339</v>
          </cell>
          <cell r="Z191">
            <v>101255.96090182866</v>
          </cell>
          <cell r="AA191">
            <v>74498.361595241222</v>
          </cell>
          <cell r="AB191">
            <v>8051.6788186996437</v>
          </cell>
          <cell r="AC191">
            <v>22609.764763621148</v>
          </cell>
          <cell r="AD191">
            <v>18705.920487888066</v>
          </cell>
          <cell r="AE191">
            <v>226585.62817067868</v>
          </cell>
        </row>
        <row r="192">
          <cell r="E192">
            <v>4005</v>
          </cell>
          <cell r="F192" t="str">
            <v>Oasis Academy Don Valley</v>
          </cell>
          <cell r="G192">
            <v>0</v>
          </cell>
          <cell r="H192">
            <v>0.52542372881355903</v>
          </cell>
          <cell r="I192">
            <v>0.41525423728813599</v>
          </cell>
          <cell r="J192">
            <v>1.6949152542372899E-2</v>
          </cell>
          <cell r="K192">
            <v>2.5423728813559299E-2</v>
          </cell>
          <cell r="L192">
            <v>1.6949152542372899E-2</v>
          </cell>
          <cell r="M192">
            <v>0</v>
          </cell>
          <cell r="N192">
            <v>1.0000000000000002</v>
          </cell>
          <cell r="P192">
            <v>0</v>
          </cell>
          <cell r="Q192">
            <v>107.97457627118638</v>
          </cell>
          <cell r="R192">
            <v>85.334745762711947</v>
          </cell>
          <cell r="S192">
            <v>3.4830508474576307</v>
          </cell>
          <cell r="T192">
            <v>5.2245762711864359</v>
          </cell>
          <cell r="U192">
            <v>3.4830508474576307</v>
          </cell>
          <cell r="V192">
            <v>0</v>
          </cell>
          <cell r="W192">
            <v>205.5</v>
          </cell>
          <cell r="Y192">
            <v>0</v>
          </cell>
          <cell r="Z192">
            <v>43907.909531352532</v>
          </cell>
          <cell r="AA192">
            <v>27761.129897242292</v>
          </cell>
          <cell r="AB192">
            <v>849.83050705843755</v>
          </cell>
          <cell r="AC192">
            <v>849.83050705843584</v>
          </cell>
          <cell r="AD192">
            <v>566.55367137229166</v>
          </cell>
          <cell r="AE192">
            <v>73935.254114083989</v>
          </cell>
        </row>
      </sheetData>
      <sheetData sheetId="18" refreshError="1">
        <row r="3">
          <cell r="F3" t="str">
            <v>High Incidence SEN</v>
          </cell>
        </row>
        <row r="193">
          <cell r="W193">
            <v>0</v>
          </cell>
        </row>
        <row r="194">
          <cell r="W194">
            <v>31.847576606034451</v>
          </cell>
        </row>
        <row r="197">
          <cell r="W197">
            <v>162.89265536723161</v>
          </cell>
        </row>
        <row r="198">
          <cell r="W198">
            <v>301.63584859068226</v>
          </cell>
        </row>
        <row r="201">
          <cell r="W201">
            <v>91.903301886792377</v>
          </cell>
        </row>
        <row r="202">
          <cell r="W202">
            <v>42.254232868195743</v>
          </cell>
        </row>
      </sheetData>
      <sheetData sheetId="19" refreshError="1"/>
      <sheetData sheetId="20" refreshError="1">
        <row r="1">
          <cell r="D1" t="str">
            <v>EAL Funding</v>
          </cell>
        </row>
        <row r="188">
          <cell r="I188">
            <v>0</v>
          </cell>
        </row>
        <row r="189">
          <cell r="I189">
            <v>10.652542372881346</v>
          </cell>
        </row>
        <row r="192">
          <cell r="I192">
            <v>83.409836065573842</v>
          </cell>
        </row>
        <row r="193">
          <cell r="I193">
            <v>56.267942583732093</v>
          </cell>
        </row>
        <row r="196">
          <cell r="I196">
            <v>109.59138655462174</v>
          </cell>
        </row>
        <row r="197">
          <cell r="I197">
            <v>24.381355932203356</v>
          </cell>
        </row>
      </sheetData>
      <sheetData sheetId="21" refreshError="1">
        <row r="1">
          <cell r="D1" t="str">
            <v>Mobility Funding</v>
          </cell>
        </row>
        <row r="187">
          <cell r="H187">
            <v>0</v>
          </cell>
        </row>
        <row r="188">
          <cell r="H188">
            <v>0</v>
          </cell>
        </row>
        <row r="191">
          <cell r="H191">
            <v>0</v>
          </cell>
        </row>
        <row r="192">
          <cell r="H192">
            <v>0</v>
          </cell>
        </row>
        <row r="195">
          <cell r="H195">
            <v>39.947033898305207</v>
          </cell>
        </row>
        <row r="196">
          <cell r="H196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">
          <cell r="Q1">
            <v>5.0000000000000001E-3</v>
          </cell>
          <cell r="Y1">
            <v>0.04</v>
          </cell>
        </row>
      </sheetData>
      <sheetData sheetId="33" refreshError="1">
        <row r="1">
          <cell r="D1" t="str">
            <v xml:space="preserve">Indicative School Budget Shares - 2019-20 </v>
          </cell>
          <cell r="V1">
            <v>0</v>
          </cell>
          <cell r="Y1">
            <v>43550.471816319441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</row>
        <row r="3">
          <cell r="G3" t="str">
            <v>PUPIL LED FUNDING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R3">
            <v>0</v>
          </cell>
        </row>
        <row r="4">
          <cell r="G4">
            <v>0</v>
          </cell>
          <cell r="H4" t="str">
            <v>Deprivation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130000</v>
          </cell>
          <cell r="R4">
            <v>0</v>
          </cell>
        </row>
        <row r="5">
          <cell r="D5" t="str">
            <v>DfE</v>
          </cell>
          <cell r="E5" t="str">
            <v>School</v>
          </cell>
          <cell r="F5" t="str">
            <v xml:space="preserve">Pupil No. </v>
          </cell>
          <cell r="G5" t="str">
            <v>Basic per pupil funding</v>
          </cell>
          <cell r="H5" t="str">
            <v>FSM</v>
          </cell>
          <cell r="I5" t="str">
            <v>FSM-Ever6</v>
          </cell>
          <cell r="J5" t="str">
            <v>IDACI</v>
          </cell>
          <cell r="K5" t="str">
            <v>Low Prior Attainment</v>
          </cell>
          <cell r="L5" t="str">
            <v>EAL</v>
          </cell>
          <cell r="M5" t="str">
            <v>Total Pupil Led Funding</v>
          </cell>
          <cell r="N5" t="str">
            <v>Lump Sum</v>
          </cell>
          <cell r="O5" t="str">
            <v>Mobility</v>
          </cell>
          <cell r="P5" t="str">
            <v>Minimum Funding Level Value</v>
          </cell>
          <cell r="Q5" t="str">
            <v>Minimum Funding Level</v>
          </cell>
          <cell r="R5" t="str">
            <v>Gains Cap Value</v>
          </cell>
          <cell r="S5" t="str">
            <v>Gains Cap</v>
          </cell>
          <cell r="T5" t="str">
            <v>MFG Value</v>
          </cell>
          <cell r="U5" t="str">
            <v>MFG</v>
          </cell>
          <cell r="V5" t="str">
            <v>PFI</v>
          </cell>
          <cell r="W5" t="str">
            <v>Split Sites</v>
          </cell>
          <cell r="X5" t="str">
            <v>Rates</v>
          </cell>
          <cell r="Y5" t="str">
            <v>TOTAL Budget Share</v>
          </cell>
        </row>
        <row r="6">
          <cell r="F6" t="str">
            <v>FTE</v>
          </cell>
          <cell r="G6" t="str">
            <v>£</v>
          </cell>
          <cell r="H6" t="str">
            <v>£</v>
          </cell>
          <cell r="I6">
            <v>0</v>
          </cell>
          <cell r="J6" t="str">
            <v>£</v>
          </cell>
          <cell r="K6" t="str">
            <v>£</v>
          </cell>
          <cell r="L6" t="str">
            <v>£</v>
          </cell>
          <cell r="M6" t="str">
            <v>£</v>
          </cell>
          <cell r="N6" t="str">
            <v>£</v>
          </cell>
          <cell r="O6" t="str">
            <v>£</v>
          </cell>
          <cell r="P6">
            <v>0</v>
          </cell>
          <cell r="Q6" t="str">
            <v>£</v>
          </cell>
          <cell r="R6">
            <v>0</v>
          </cell>
          <cell r="S6" t="str">
            <v>£</v>
          </cell>
          <cell r="T6">
            <v>0</v>
          </cell>
          <cell r="U6" t="str">
            <v>£</v>
          </cell>
          <cell r="V6" t="str">
            <v>£</v>
          </cell>
          <cell r="W6" t="str">
            <v>£</v>
          </cell>
          <cell r="X6" t="str">
            <v>£</v>
          </cell>
          <cell r="Y6" t="str">
            <v>£</v>
          </cell>
        </row>
        <row r="7"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</row>
        <row r="8">
          <cell r="M8">
            <v>0</v>
          </cell>
        </row>
        <row r="9">
          <cell r="D9">
            <v>2001</v>
          </cell>
          <cell r="E9" t="str">
            <v>Abbey Lane Primary School</v>
          </cell>
          <cell r="F9">
            <v>573</v>
          </cell>
          <cell r="G9">
            <v>1684481.6717218508</v>
          </cell>
          <cell r="H9">
            <v>36946.298465568208</v>
          </cell>
          <cell r="I9">
            <v>0</v>
          </cell>
          <cell r="J9">
            <v>30253.398679776143</v>
          </cell>
          <cell r="K9">
            <v>128807.07952537872</v>
          </cell>
          <cell r="L9">
            <v>7371.7326003656162</v>
          </cell>
          <cell r="M9">
            <v>1887860.1809929393</v>
          </cell>
          <cell r="N9">
            <v>130000</v>
          </cell>
          <cell r="O9">
            <v>0</v>
          </cell>
          <cell r="P9">
            <v>0</v>
          </cell>
          <cell r="Q9">
            <v>0</v>
          </cell>
          <cell r="R9">
            <v>-5859.3355596377278</v>
          </cell>
          <cell r="S9">
            <v>-5859.3355596377278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39312</v>
          </cell>
          <cell r="Y9">
            <v>2051312.8454333015</v>
          </cell>
        </row>
        <row r="10">
          <cell r="D10">
            <v>2046</v>
          </cell>
          <cell r="E10" t="str">
            <v>Abbeyfield Primary Academy (Firs Hill)</v>
          </cell>
          <cell r="F10">
            <v>426</v>
          </cell>
          <cell r="G10">
            <v>1252337.1590811666</v>
          </cell>
          <cell r="H10">
            <v>80666.084983157096</v>
          </cell>
          <cell r="I10">
            <v>0</v>
          </cell>
          <cell r="J10">
            <v>87271.858665349937</v>
          </cell>
          <cell r="K10">
            <v>220204.48279748205</v>
          </cell>
          <cell r="L10">
            <v>59353.245949562894</v>
          </cell>
          <cell r="M10">
            <v>1699832.8314767184</v>
          </cell>
          <cell r="N10">
            <v>130000</v>
          </cell>
          <cell r="O10">
            <v>4233.2523687250123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6621.63</v>
          </cell>
          <cell r="Y10">
            <v>1840687.7138454432</v>
          </cell>
        </row>
        <row r="11">
          <cell r="D11">
            <v>2048</v>
          </cell>
          <cell r="E11" t="str">
            <v>Acres Hill Community Primary School</v>
          </cell>
          <cell r="F11">
            <v>262</v>
          </cell>
          <cell r="G11">
            <v>770216.75042081135</v>
          </cell>
          <cell r="H11">
            <v>51724.817851795415</v>
          </cell>
          <cell r="I11">
            <v>0</v>
          </cell>
          <cell r="J11">
            <v>52578.757873237751</v>
          </cell>
          <cell r="K11">
            <v>149365.32069537666</v>
          </cell>
          <cell r="L11">
            <v>22963.836753678825</v>
          </cell>
          <cell r="M11">
            <v>1046849.4835949001</v>
          </cell>
          <cell r="N11">
            <v>130000</v>
          </cell>
          <cell r="O11">
            <v>6396.7153848507978</v>
          </cell>
          <cell r="P11">
            <v>0</v>
          </cell>
          <cell r="Q11">
            <v>0</v>
          </cell>
          <cell r="R11">
            <v>-7708.2895551510201</v>
          </cell>
          <cell r="S11">
            <v>-7708.2895551510201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3290.5140000000001</v>
          </cell>
          <cell r="Y11">
            <v>1178828.4234245997</v>
          </cell>
        </row>
        <row r="12">
          <cell r="D12">
            <v>2342</v>
          </cell>
          <cell r="E12" t="str">
            <v>Angram Bank Primary School</v>
          </cell>
          <cell r="F12">
            <v>215</v>
          </cell>
          <cell r="G12">
            <v>632048.09671936813</v>
          </cell>
          <cell r="H12">
            <v>44335.558158681808</v>
          </cell>
          <cell r="I12">
            <v>0</v>
          </cell>
          <cell r="J12">
            <v>29428.88257319944</v>
          </cell>
          <cell r="K12">
            <v>87007.840566678555</v>
          </cell>
          <cell r="L12">
            <v>1195.1595971534723</v>
          </cell>
          <cell r="M12">
            <v>794015.53761508141</v>
          </cell>
          <cell r="N12">
            <v>130000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3622.7446090415528</v>
          </cell>
          <cell r="U12">
            <v>3622.7446090415528</v>
          </cell>
          <cell r="V12">
            <v>0</v>
          </cell>
          <cell r="W12">
            <v>0</v>
          </cell>
          <cell r="X12">
            <v>19694.82</v>
          </cell>
          <cell r="Y12">
            <v>947333.10222412308</v>
          </cell>
        </row>
        <row r="13">
          <cell r="D13">
            <v>2343</v>
          </cell>
          <cell r="E13" t="str">
            <v>Anns Grove Primary School</v>
          </cell>
          <cell r="F13">
            <v>301</v>
          </cell>
          <cell r="G13">
            <v>884867.33540711529</v>
          </cell>
          <cell r="H13">
            <v>49877.502928517046</v>
          </cell>
          <cell r="I13">
            <v>0</v>
          </cell>
          <cell r="J13">
            <v>53403.273979814432</v>
          </cell>
          <cell r="K13">
            <v>115920.81490453896</v>
          </cell>
          <cell r="L13">
            <v>16665.036631794566</v>
          </cell>
          <cell r="M13">
            <v>1120733.9638517804</v>
          </cell>
          <cell r="N13">
            <v>130000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40067.5</v>
          </cell>
          <cell r="Y13">
            <v>1290801.4638517804</v>
          </cell>
        </row>
        <row r="14">
          <cell r="D14">
            <v>3429</v>
          </cell>
          <cell r="E14" t="str">
            <v>Arbourthorne Community Primary School</v>
          </cell>
          <cell r="F14">
            <v>405</v>
          </cell>
          <cell r="G14">
            <v>1190602.2287039259</v>
          </cell>
          <cell r="H14">
            <v>119459.69837200351</v>
          </cell>
          <cell r="I14">
            <v>0</v>
          </cell>
          <cell r="J14">
            <v>121711.26219390001</v>
          </cell>
          <cell r="K14">
            <v>245051.54963608965</v>
          </cell>
          <cell r="L14">
            <v>15688.061683485375</v>
          </cell>
          <cell r="M14">
            <v>1692512.8005894045</v>
          </cell>
          <cell r="N14">
            <v>130000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51912</v>
          </cell>
          <cell r="Y14">
            <v>1874424.8005894045</v>
          </cell>
        </row>
        <row r="15">
          <cell r="D15">
            <v>2340</v>
          </cell>
          <cell r="E15" t="str">
            <v>Athelstan Primary School</v>
          </cell>
          <cell r="F15">
            <v>603</v>
          </cell>
          <cell r="G15">
            <v>1772674.4294036231</v>
          </cell>
          <cell r="H15">
            <v>88055.344676270848</v>
          </cell>
          <cell r="I15">
            <v>0</v>
          </cell>
          <cell r="J15">
            <v>73699.055064779532</v>
          </cell>
          <cell r="K15">
            <v>254671.23684044863</v>
          </cell>
          <cell r="L15">
            <v>21346.300207828881</v>
          </cell>
          <cell r="M15">
            <v>2210446.3661929513</v>
          </cell>
          <cell r="N15">
            <v>130000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32348.01</v>
          </cell>
          <cell r="Y15">
            <v>2372794.3761929511</v>
          </cell>
        </row>
        <row r="16">
          <cell r="D16">
            <v>2281</v>
          </cell>
          <cell r="E16" t="str">
            <v>Ballifield Primary School</v>
          </cell>
          <cell r="F16">
            <v>419</v>
          </cell>
          <cell r="G16">
            <v>1231758.8489554196</v>
          </cell>
          <cell r="H16">
            <v>20320.464156062477</v>
          </cell>
          <cell r="I16">
            <v>0</v>
          </cell>
          <cell r="J16">
            <v>23974.391406615054</v>
          </cell>
          <cell r="K16">
            <v>191175.23017352546</v>
          </cell>
          <cell r="L16">
            <v>4011.3509063117522</v>
          </cell>
          <cell r="M16">
            <v>1471240.2855979344</v>
          </cell>
          <cell r="N16">
            <v>130000</v>
          </cell>
          <cell r="O16">
            <v>0</v>
          </cell>
          <cell r="P16">
            <v>0</v>
          </cell>
          <cell r="Q16">
            <v>0</v>
          </cell>
          <cell r="R16">
            <v>-39144.591425237973</v>
          </cell>
          <cell r="S16">
            <v>-39144.591425237973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27467.5</v>
          </cell>
          <cell r="Y16">
            <v>1589563.194172696</v>
          </cell>
        </row>
        <row r="17">
          <cell r="D17">
            <v>2322</v>
          </cell>
          <cell r="E17" t="str">
            <v>Bankwood Community Primary School</v>
          </cell>
          <cell r="F17">
            <v>333</v>
          </cell>
          <cell r="G17">
            <v>978939.61026767245</v>
          </cell>
          <cell r="H17">
            <v>136085.53268150933</v>
          </cell>
          <cell r="I17">
            <v>0</v>
          </cell>
          <cell r="J17">
            <v>114227.19291881926</v>
          </cell>
          <cell r="K17">
            <v>163869.86635781772</v>
          </cell>
          <cell r="L17">
            <v>21362.052574849131</v>
          </cell>
          <cell r="M17">
            <v>1414484.254800668</v>
          </cell>
          <cell r="N17">
            <v>130000</v>
          </cell>
          <cell r="O17">
            <v>7555.1795747384749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19729.845733171504</v>
          </cell>
          <cell r="U17">
            <v>19729.845733171504</v>
          </cell>
          <cell r="V17">
            <v>0</v>
          </cell>
          <cell r="W17">
            <v>0</v>
          </cell>
          <cell r="X17">
            <v>24570</v>
          </cell>
          <cell r="Y17">
            <v>1596339.2801085773</v>
          </cell>
        </row>
        <row r="18">
          <cell r="D18">
            <v>2274</v>
          </cell>
          <cell r="E18" t="str">
            <v>Beck Primary School</v>
          </cell>
          <cell r="F18">
            <v>627</v>
          </cell>
          <cell r="G18">
            <v>1843228.635549041</v>
          </cell>
          <cell r="H18">
            <v>151479.8237088295</v>
          </cell>
          <cell r="I18">
            <v>0</v>
          </cell>
          <cell r="J18">
            <v>189194.73430140913</v>
          </cell>
          <cell r="K18">
            <v>299315.72893325886</v>
          </cell>
          <cell r="L18">
            <v>18913.42779825885</v>
          </cell>
          <cell r="M18">
            <v>2502132.3502907977</v>
          </cell>
          <cell r="N18">
            <v>130000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8315.5</v>
          </cell>
          <cell r="Y18">
            <v>2640447.8502907977</v>
          </cell>
        </row>
        <row r="19">
          <cell r="D19">
            <v>2241</v>
          </cell>
          <cell r="E19" t="str">
            <v>Beighton Nursery Infant School</v>
          </cell>
          <cell r="F19">
            <v>265</v>
          </cell>
          <cell r="G19">
            <v>779036.02618898859</v>
          </cell>
          <cell r="H19">
            <v>11083.889539670439</v>
          </cell>
          <cell r="I19">
            <v>0</v>
          </cell>
          <cell r="J19">
            <v>7864.6151704239874</v>
          </cell>
          <cell r="K19">
            <v>63939.031716949328</v>
          </cell>
          <cell r="L19">
            <v>2064.009689263602</v>
          </cell>
          <cell r="M19">
            <v>863987.57230529597</v>
          </cell>
          <cell r="N19">
            <v>130000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20034</v>
          </cell>
          <cell r="Y19">
            <v>1014021.572305296</v>
          </cell>
        </row>
        <row r="20">
          <cell r="D20">
            <v>2353</v>
          </cell>
          <cell r="E20" t="str">
            <v>Birley Primary Academy</v>
          </cell>
          <cell r="F20">
            <v>566</v>
          </cell>
          <cell r="G20">
            <v>1663903.361596104</v>
          </cell>
          <cell r="H20">
            <v>54803.676057259392</v>
          </cell>
          <cell r="I20">
            <v>0</v>
          </cell>
          <cell r="J20">
            <v>30697.368891009723</v>
          </cell>
          <cell r="K20">
            <v>219802.17217649921</v>
          </cell>
          <cell r="L20">
            <v>1191.8876687342304</v>
          </cell>
          <cell r="M20">
            <v>1970398.4663896065</v>
          </cell>
          <cell r="N20">
            <v>130000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7147</v>
          </cell>
          <cell r="Y20">
            <v>2107545.4663896067</v>
          </cell>
        </row>
        <row r="21">
          <cell r="D21">
            <v>2323</v>
          </cell>
          <cell r="E21" t="str">
            <v>Birley Spa Primary Academy</v>
          </cell>
          <cell r="F21">
            <v>401</v>
          </cell>
          <cell r="G21">
            <v>1178843.1943463562</v>
          </cell>
          <cell r="H21">
            <v>52340.589492888277</v>
          </cell>
          <cell r="I21">
            <v>0</v>
          </cell>
          <cell r="J21">
            <v>36532.405952937166</v>
          </cell>
          <cell r="K21">
            <v>202960.67326359201</v>
          </cell>
          <cell r="L21">
            <v>1205.2754693522036</v>
          </cell>
          <cell r="M21">
            <v>1471882.1385251258</v>
          </cell>
          <cell r="N21">
            <v>130000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9021.7000000000007</v>
          </cell>
          <cell r="Y21">
            <v>1610903.838525126</v>
          </cell>
        </row>
        <row r="22">
          <cell r="D22">
            <v>2328</v>
          </cell>
          <cell r="E22" t="str">
            <v>Bradfield Dungworth Primary School</v>
          </cell>
          <cell r="F22">
            <v>107</v>
          </cell>
          <cell r="G22">
            <v>314554.16906498786</v>
          </cell>
          <cell r="H22">
            <v>3694.6298465568134</v>
          </cell>
          <cell r="I22">
            <v>0</v>
          </cell>
          <cell r="J22">
            <v>1966.1537926059937</v>
          </cell>
          <cell r="K22">
            <v>21969.182178652136</v>
          </cell>
          <cell r="L22">
            <v>439.01931160111519</v>
          </cell>
          <cell r="M22">
            <v>342623.15419440391</v>
          </cell>
          <cell r="N22">
            <v>130000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13364.171260076782</v>
          </cell>
          <cell r="U22">
            <v>13364.171260076782</v>
          </cell>
          <cell r="V22">
            <v>0</v>
          </cell>
          <cell r="W22">
            <v>0</v>
          </cell>
          <cell r="X22">
            <v>13860</v>
          </cell>
          <cell r="Y22">
            <v>499847.32545448071</v>
          </cell>
        </row>
        <row r="23">
          <cell r="D23">
            <v>2233</v>
          </cell>
          <cell r="E23" t="str">
            <v>Bradway Primary School</v>
          </cell>
          <cell r="F23">
            <v>402</v>
          </cell>
          <cell r="G23">
            <v>1181782.9529357487</v>
          </cell>
          <cell r="H23">
            <v>22783.550720433679</v>
          </cell>
          <cell r="I23">
            <v>0</v>
          </cell>
          <cell r="J23">
            <v>25686.847935658981</v>
          </cell>
          <cell r="K23">
            <v>122998.43392380048</v>
          </cell>
          <cell r="L23">
            <v>3614.3366389629696</v>
          </cell>
          <cell r="M23">
            <v>1356866.1221546049</v>
          </cell>
          <cell r="N23">
            <v>130000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25397.86</v>
          </cell>
          <cell r="Y23">
            <v>1512263.9821546047</v>
          </cell>
        </row>
        <row r="24">
          <cell r="D24">
            <v>2014</v>
          </cell>
          <cell r="E24" t="str">
            <v>Brightside Nursery and Infant School</v>
          </cell>
          <cell r="F24">
            <v>180</v>
          </cell>
          <cell r="G24">
            <v>529156.54609063372</v>
          </cell>
          <cell r="H24">
            <v>27709.723849176091</v>
          </cell>
          <cell r="I24">
            <v>0</v>
          </cell>
          <cell r="J24">
            <v>26447.939726345146</v>
          </cell>
          <cell r="K24">
            <v>73915.005460885688</v>
          </cell>
          <cell r="L24">
            <v>23263.920530638545</v>
          </cell>
          <cell r="M24">
            <v>680493.13565767917</v>
          </cell>
          <cell r="N24">
            <v>130000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3200.2041892056941</v>
          </cell>
          <cell r="U24">
            <v>3200.2041892056941</v>
          </cell>
          <cell r="V24">
            <v>0</v>
          </cell>
          <cell r="W24">
            <v>0</v>
          </cell>
          <cell r="X24">
            <v>16584.21</v>
          </cell>
          <cell r="Y24">
            <v>830277.54984688503</v>
          </cell>
        </row>
        <row r="25">
          <cell r="D25">
            <v>2246</v>
          </cell>
          <cell r="E25" t="str">
            <v>Brook House Junior School</v>
          </cell>
          <cell r="F25">
            <v>343</v>
          </cell>
          <cell r="G25">
            <v>1008337.1961615966</v>
          </cell>
          <cell r="H25">
            <v>13546.976104041645</v>
          </cell>
          <cell r="I25">
            <v>0</v>
          </cell>
          <cell r="J25">
            <v>8181.736749876578</v>
          </cell>
          <cell r="K25">
            <v>114551.80079507836</v>
          </cell>
          <cell r="L25">
            <v>689.30134905595639</v>
          </cell>
          <cell r="M25">
            <v>1145307.0111596491</v>
          </cell>
          <cell r="N25">
            <v>130000</v>
          </cell>
          <cell r="O25">
            <v>0</v>
          </cell>
          <cell r="P25">
            <v>0</v>
          </cell>
          <cell r="Q25">
            <v>0</v>
          </cell>
          <cell r="R25">
            <v>-2914.2125899813982</v>
          </cell>
          <cell r="S25">
            <v>-2914.2125899813982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40507</v>
          </cell>
          <cell r="Y25">
            <v>1312899.7985696676</v>
          </cell>
        </row>
        <row r="26">
          <cell r="D26">
            <v>5204</v>
          </cell>
          <cell r="E26" t="str">
            <v>Broomhill Infant School</v>
          </cell>
          <cell r="F26">
            <v>107</v>
          </cell>
          <cell r="G26">
            <v>314554.16906498786</v>
          </cell>
          <cell r="H26">
            <v>6157.7164109280175</v>
          </cell>
          <cell r="I26">
            <v>0</v>
          </cell>
          <cell r="J26">
            <v>5010.5209553507621</v>
          </cell>
          <cell r="K26">
            <v>31617.024087795682</v>
          </cell>
          <cell r="L26">
            <v>15184.903248320932</v>
          </cell>
          <cell r="M26">
            <v>372524.33376738324</v>
          </cell>
          <cell r="N26">
            <v>130000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31064.669854266664</v>
          </cell>
          <cell r="U26">
            <v>31064.669854266664</v>
          </cell>
          <cell r="V26">
            <v>0</v>
          </cell>
          <cell r="W26">
            <v>0</v>
          </cell>
          <cell r="X26">
            <v>1545.75</v>
          </cell>
          <cell r="Y26">
            <v>535134.75362164993</v>
          </cell>
        </row>
        <row r="27">
          <cell r="D27">
            <v>2325</v>
          </cell>
          <cell r="E27" t="str">
            <v>Brunswick Community Primary School</v>
          </cell>
          <cell r="F27">
            <v>418</v>
          </cell>
          <cell r="G27">
            <v>1228819.0903660273</v>
          </cell>
          <cell r="H27">
            <v>59729.849186001906</v>
          </cell>
          <cell r="I27">
            <v>0</v>
          </cell>
          <cell r="J27">
            <v>40528.137854039727</v>
          </cell>
          <cell r="K27">
            <v>173935.69581343827</v>
          </cell>
          <cell r="L27">
            <v>5231.3736463269161</v>
          </cell>
          <cell r="M27">
            <v>1508244.146865834</v>
          </cell>
          <cell r="N27">
            <v>130000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34632.53</v>
          </cell>
          <cell r="Y27">
            <v>1672876.6768658338</v>
          </cell>
        </row>
        <row r="28">
          <cell r="D28">
            <v>2095</v>
          </cell>
          <cell r="E28" t="str">
            <v>Byron Wood Primary Academy</v>
          </cell>
          <cell r="F28">
            <v>411</v>
          </cell>
          <cell r="G28">
            <v>1208240.7802402803</v>
          </cell>
          <cell r="H28">
            <v>94828.8327282916</v>
          </cell>
          <cell r="I28">
            <v>0</v>
          </cell>
          <cell r="J28">
            <v>110104.61238593573</v>
          </cell>
          <cell r="K28">
            <v>204572.84339679492</v>
          </cell>
          <cell r="L28">
            <v>67120.983980227305</v>
          </cell>
          <cell r="M28">
            <v>1684868.0527315298</v>
          </cell>
          <cell r="N28">
            <v>130000</v>
          </cell>
          <cell r="O28">
            <v>2322.4092856199886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9168.7355350044254</v>
          </cell>
          <cell r="U28">
            <v>9168.7355350044254</v>
          </cell>
          <cell r="V28">
            <v>0</v>
          </cell>
          <cell r="W28">
            <v>0</v>
          </cell>
          <cell r="X28">
            <v>5663.98</v>
          </cell>
          <cell r="Y28">
            <v>1832023.1775521545</v>
          </cell>
        </row>
        <row r="29">
          <cell r="D29">
            <v>2344</v>
          </cell>
          <cell r="E29" t="str">
            <v>Carfield Primary School</v>
          </cell>
          <cell r="F29">
            <v>577</v>
          </cell>
          <cell r="G29">
            <v>1696240.7060794204</v>
          </cell>
          <cell r="H29">
            <v>51724.817851795364</v>
          </cell>
          <cell r="I29">
            <v>0</v>
          </cell>
          <cell r="J29">
            <v>59238.311041741901</v>
          </cell>
          <cell r="K29">
            <v>189156.84834785745</v>
          </cell>
          <cell r="L29">
            <v>8116.8750694956461</v>
          </cell>
          <cell r="M29">
            <v>2004477.5583903107</v>
          </cell>
          <cell r="N29">
            <v>130000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30995.5</v>
          </cell>
          <cell r="Y29">
            <v>2165473.058390311</v>
          </cell>
        </row>
        <row r="30">
          <cell r="D30">
            <v>2023</v>
          </cell>
          <cell r="E30" t="str">
            <v>Carter Knowle Junior School</v>
          </cell>
          <cell r="F30">
            <v>214</v>
          </cell>
          <cell r="G30">
            <v>629108.33812997572</v>
          </cell>
          <cell r="H30">
            <v>13546.976104041645</v>
          </cell>
          <cell r="I30">
            <v>0</v>
          </cell>
          <cell r="J30">
            <v>2536.9726356206365</v>
          </cell>
          <cell r="K30">
            <v>48213.069661603324</v>
          </cell>
          <cell r="L30">
            <v>1043.7062879573675</v>
          </cell>
          <cell r="M30">
            <v>694449.06281919871</v>
          </cell>
          <cell r="N30">
            <v>130000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16781.7</v>
          </cell>
          <cell r="Y30">
            <v>841230.76281919866</v>
          </cell>
        </row>
        <row r="31">
          <cell r="D31">
            <v>2354</v>
          </cell>
          <cell r="E31" t="str">
            <v>Charnock Hall Primary Academy</v>
          </cell>
          <cell r="F31">
            <v>400</v>
          </cell>
          <cell r="G31">
            <v>1175903.4357569639</v>
          </cell>
          <cell r="H31">
            <v>30788.582054640101</v>
          </cell>
          <cell r="I31">
            <v>0</v>
          </cell>
          <cell r="J31">
            <v>29175.185309637342</v>
          </cell>
          <cell r="K31">
            <v>131404.45415268568</v>
          </cell>
          <cell r="L31">
            <v>803.84996974455566</v>
          </cell>
          <cell r="M31">
            <v>1368075.5072436715</v>
          </cell>
          <cell r="N31">
            <v>130000</v>
          </cell>
          <cell r="O31">
            <v>0</v>
          </cell>
          <cell r="P31">
            <v>0</v>
          </cell>
          <cell r="Q31">
            <v>0</v>
          </cell>
          <cell r="R31">
            <v>-11580.273028967098</v>
          </cell>
          <cell r="S31">
            <v>-11580.273028967098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4813</v>
          </cell>
          <cell r="Y31">
            <v>1491308.2342147047</v>
          </cell>
        </row>
        <row r="32">
          <cell r="D32">
            <v>5200</v>
          </cell>
          <cell r="E32" t="str">
            <v>Clifford CofE Infant School</v>
          </cell>
          <cell r="F32">
            <v>106</v>
          </cell>
          <cell r="G32">
            <v>311614.41047559545</v>
          </cell>
          <cell r="H32">
            <v>4926.1731287424136</v>
          </cell>
          <cell r="I32">
            <v>0</v>
          </cell>
          <cell r="J32">
            <v>5200.7939030223115</v>
          </cell>
          <cell r="K32">
            <v>13984.811385727546</v>
          </cell>
          <cell r="L32">
            <v>2200.7814156605855</v>
          </cell>
          <cell r="M32">
            <v>337926.97030874831</v>
          </cell>
          <cell r="N32">
            <v>130000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43436.004210526313</v>
          </cell>
          <cell r="X32">
            <v>6939</v>
          </cell>
          <cell r="Y32">
            <v>518301.97451927466</v>
          </cell>
        </row>
        <row r="33">
          <cell r="D33">
            <v>2312</v>
          </cell>
          <cell r="E33" t="str">
            <v>Coit Primary School</v>
          </cell>
          <cell r="F33">
            <v>208</v>
          </cell>
          <cell r="G33">
            <v>611469.78659362125</v>
          </cell>
          <cell r="H33">
            <v>11083.88953967043</v>
          </cell>
          <cell r="I33">
            <v>0</v>
          </cell>
          <cell r="J33">
            <v>10465.012121935131</v>
          </cell>
          <cell r="K33">
            <v>46325.638074167247</v>
          </cell>
          <cell r="L33">
            <v>2402.9276078822181</v>
          </cell>
          <cell r="M33">
            <v>681747.2539372762</v>
          </cell>
          <cell r="N33">
            <v>130000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16378.17</v>
          </cell>
          <cell r="Y33">
            <v>828125.42393727612</v>
          </cell>
        </row>
        <row r="34">
          <cell r="D34">
            <v>2026</v>
          </cell>
          <cell r="E34" t="str">
            <v>Concord Junior School</v>
          </cell>
          <cell r="F34">
            <v>206</v>
          </cell>
          <cell r="G34">
            <v>605590.26941483642</v>
          </cell>
          <cell r="H34">
            <v>38177.841747753759</v>
          </cell>
          <cell r="I34">
            <v>0</v>
          </cell>
          <cell r="J34">
            <v>37356.922059513934</v>
          </cell>
          <cell r="K34">
            <v>110855.30046518939</v>
          </cell>
          <cell r="L34">
            <v>12590.785233002438</v>
          </cell>
          <cell r="M34">
            <v>804571.11892029596</v>
          </cell>
          <cell r="N34">
            <v>130000</v>
          </cell>
          <cell r="O34">
            <v>0</v>
          </cell>
          <cell r="P34">
            <v>0</v>
          </cell>
          <cell r="Q34">
            <v>0</v>
          </cell>
          <cell r="R34">
            <v>-30999.815327245273</v>
          </cell>
          <cell r="S34">
            <v>-30999.815327245273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3603.95</v>
          </cell>
          <cell r="Y34">
            <v>907175.25359305064</v>
          </cell>
        </row>
        <row r="35">
          <cell r="D35">
            <v>3422</v>
          </cell>
          <cell r="E35" t="str">
            <v>Deepcar St John's Church of England Junior School</v>
          </cell>
          <cell r="F35">
            <v>154</v>
          </cell>
          <cell r="G35">
            <v>452722.82276643108</v>
          </cell>
          <cell r="H35">
            <v>15394.29102732002</v>
          </cell>
          <cell r="I35">
            <v>0</v>
          </cell>
          <cell r="J35">
            <v>1395.3349495913503</v>
          </cell>
          <cell r="K35">
            <v>58800.611556700707</v>
          </cell>
          <cell r="L35">
            <v>689.30134905595764</v>
          </cell>
          <cell r="M35">
            <v>529002.36164909916</v>
          </cell>
          <cell r="N35">
            <v>130000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2847.84</v>
          </cell>
          <cell r="Y35">
            <v>661850.20164909924</v>
          </cell>
        </row>
        <row r="36">
          <cell r="D36">
            <v>2283</v>
          </cell>
          <cell r="E36" t="str">
            <v>Dobcroft Infant School</v>
          </cell>
          <cell r="F36">
            <v>271</v>
          </cell>
          <cell r="G36">
            <v>796674.57772534306</v>
          </cell>
          <cell r="H36">
            <v>5541.9447698352133</v>
          </cell>
          <cell r="I36">
            <v>0</v>
          </cell>
          <cell r="J36">
            <v>1395.3349495913503</v>
          </cell>
          <cell r="K36">
            <v>32972.784329053495</v>
          </cell>
          <cell r="L36">
            <v>22189.029338533361</v>
          </cell>
          <cell r="M36">
            <v>858773.67111235647</v>
          </cell>
          <cell r="N36">
            <v>130000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12043.123799999999</v>
          </cell>
          <cell r="Y36">
            <v>1000816.7949123564</v>
          </cell>
        </row>
        <row r="37">
          <cell r="D37">
            <v>2239</v>
          </cell>
          <cell r="E37" t="str">
            <v>Dobcroft Junior School</v>
          </cell>
          <cell r="F37">
            <v>402</v>
          </cell>
          <cell r="G37">
            <v>1181782.9529357487</v>
          </cell>
          <cell r="H37">
            <v>4926.1731287424136</v>
          </cell>
          <cell r="I37">
            <v>0</v>
          </cell>
          <cell r="J37">
            <v>1966.153792605995</v>
          </cell>
          <cell r="K37">
            <v>75819.356644139523</v>
          </cell>
          <cell r="L37">
            <v>8616.2668631994675</v>
          </cell>
          <cell r="M37">
            <v>1273110.9033644362</v>
          </cell>
          <cell r="N37">
            <v>130000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16630.266199999998</v>
          </cell>
          <cell r="Y37">
            <v>1419741.1695644362</v>
          </cell>
        </row>
        <row r="38">
          <cell r="D38">
            <v>2364</v>
          </cell>
          <cell r="E38" t="str">
            <v>Dore Primary School</v>
          </cell>
          <cell r="F38">
            <v>466</v>
          </cell>
          <cell r="G38">
            <v>1369927.5026568628</v>
          </cell>
          <cell r="H38">
            <v>9852.3462574848454</v>
          </cell>
          <cell r="I38">
            <v>0</v>
          </cell>
          <cell r="J38">
            <v>380.54589534309588</v>
          </cell>
          <cell r="K38">
            <v>114396.9003259546</v>
          </cell>
          <cell r="L38">
            <v>7120.5168914795113</v>
          </cell>
          <cell r="M38">
            <v>1501677.8120271249</v>
          </cell>
          <cell r="N38">
            <v>130000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29835.19</v>
          </cell>
          <cell r="Y38">
            <v>1661513.0020271249</v>
          </cell>
        </row>
        <row r="39">
          <cell r="D39">
            <v>0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D40">
            <v>2206</v>
          </cell>
          <cell r="E40" t="str">
            <v>Ecclesall Infant Junior School</v>
          </cell>
          <cell r="F40">
            <v>575</v>
          </cell>
          <cell r="G40">
            <v>1690361.1889006356</v>
          </cell>
          <cell r="H40">
            <v>5541.944769835226</v>
          </cell>
          <cell r="I40">
            <v>0</v>
          </cell>
          <cell r="J40">
            <v>4947.0966394602483</v>
          </cell>
          <cell r="K40">
            <v>115753.16605284989</v>
          </cell>
          <cell r="L40">
            <v>8273.671759294919</v>
          </cell>
          <cell r="M40">
            <v>1824877.0681220759</v>
          </cell>
          <cell r="N40">
            <v>221000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14238</v>
          </cell>
          <cell r="Y40">
            <v>2060115.0681220759</v>
          </cell>
        </row>
        <row r="41">
          <cell r="D41">
            <v>2080</v>
          </cell>
          <cell r="E41" t="str">
            <v>Ecclesfield Primary School</v>
          </cell>
          <cell r="F41">
            <v>409</v>
          </cell>
          <cell r="G41">
            <v>1202361.2630614955</v>
          </cell>
          <cell r="H41">
            <v>37562.07010666102</v>
          </cell>
          <cell r="I41">
            <v>0</v>
          </cell>
          <cell r="J41">
            <v>53216.265518990185</v>
          </cell>
          <cell r="K41">
            <v>114838.50800950502</v>
          </cell>
          <cell r="L41">
            <v>6006.9087733782653</v>
          </cell>
          <cell r="M41">
            <v>1413985.0154700298</v>
          </cell>
          <cell r="N41">
            <v>130000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22554</v>
          </cell>
          <cell r="Y41">
            <v>1566539.0154700298</v>
          </cell>
        </row>
        <row r="42">
          <cell r="D42">
            <v>2024</v>
          </cell>
          <cell r="E42" t="str">
            <v>Emmanuel Anglican/Methodist Junior School</v>
          </cell>
          <cell r="F42">
            <v>215</v>
          </cell>
          <cell r="G42">
            <v>632048.09671936813</v>
          </cell>
          <cell r="H42">
            <v>25246.637284804929</v>
          </cell>
          <cell r="I42">
            <v>0</v>
          </cell>
          <cell r="J42">
            <v>20549.478348527173</v>
          </cell>
          <cell r="K42">
            <v>75473.730545033424</v>
          </cell>
          <cell r="L42">
            <v>1378.6026981119139</v>
          </cell>
          <cell r="M42">
            <v>754696.54559584567</v>
          </cell>
          <cell r="N42">
            <v>130000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5897</v>
          </cell>
          <cell r="Y42">
            <v>890593.54559584567</v>
          </cell>
        </row>
        <row r="43">
          <cell r="D43">
            <v>2028</v>
          </cell>
          <cell r="E43" t="str">
            <v>Emmaus Catholic and CofE Primary School</v>
          </cell>
          <cell r="F43">
            <v>312</v>
          </cell>
          <cell r="G43">
            <v>917204.67989043181</v>
          </cell>
          <cell r="H43">
            <v>56035.219339445059</v>
          </cell>
          <cell r="I43">
            <v>0</v>
          </cell>
          <cell r="J43">
            <v>84988.583293291362</v>
          </cell>
          <cell r="K43">
            <v>118665.24371192907</v>
          </cell>
          <cell r="L43">
            <v>16978.58059779933</v>
          </cell>
          <cell r="M43">
            <v>1193872.3068328965</v>
          </cell>
          <cell r="N43">
            <v>130000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8570.5717744830345</v>
          </cell>
          <cell r="U43">
            <v>8570.5717744830345</v>
          </cell>
          <cell r="V43">
            <v>0</v>
          </cell>
          <cell r="W43">
            <v>0</v>
          </cell>
          <cell r="X43">
            <v>8214.9</v>
          </cell>
          <cell r="Y43">
            <v>1340657.7786073799</v>
          </cell>
        </row>
        <row r="44">
          <cell r="D44">
            <v>2010</v>
          </cell>
          <cell r="E44" t="str">
            <v>Fox Hill Primary</v>
          </cell>
          <cell r="F44">
            <v>296</v>
          </cell>
          <cell r="G44">
            <v>870168.54246015323</v>
          </cell>
          <cell r="H44">
            <v>69582.195443486678</v>
          </cell>
          <cell r="I44">
            <v>0</v>
          </cell>
          <cell r="J44">
            <v>75918.90612094762</v>
          </cell>
          <cell r="K44">
            <v>141218.89471180757</v>
          </cell>
          <cell r="L44">
            <v>5579.0327939216504</v>
          </cell>
          <cell r="M44">
            <v>1162467.5715303167</v>
          </cell>
          <cell r="N44">
            <v>130000</v>
          </cell>
          <cell r="O44">
            <v>1881.4454972111751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179596.97051396145</v>
          </cell>
          <cell r="U44">
            <v>179596.97051396145</v>
          </cell>
          <cell r="V44">
            <v>0</v>
          </cell>
          <cell r="W44">
            <v>0</v>
          </cell>
          <cell r="X44">
            <v>7861</v>
          </cell>
          <cell r="Y44">
            <v>1481806.9875414888</v>
          </cell>
        </row>
        <row r="45">
          <cell r="D45">
            <v>2036</v>
          </cell>
          <cell r="E45" t="str">
            <v>Gleadless Primary School</v>
          </cell>
          <cell r="F45">
            <v>418</v>
          </cell>
          <cell r="G45">
            <v>1228819.0903660273</v>
          </cell>
          <cell r="H45">
            <v>51724.817851795357</v>
          </cell>
          <cell r="I45">
            <v>0</v>
          </cell>
          <cell r="J45">
            <v>34439.403528550174</v>
          </cell>
          <cell r="K45">
            <v>172457.48876686514</v>
          </cell>
          <cell r="L45">
            <v>4438.9462226320602</v>
          </cell>
          <cell r="M45">
            <v>1491879.7467358699</v>
          </cell>
          <cell r="N45">
            <v>130000</v>
          </cell>
          <cell r="O45">
            <v>0</v>
          </cell>
          <cell r="P45">
            <v>0</v>
          </cell>
          <cell r="Q45">
            <v>0</v>
          </cell>
          <cell r="R45">
            <v>-58353.854434887289</v>
          </cell>
          <cell r="S45">
            <v>-58353.854434887289</v>
          </cell>
          <cell r="T45">
            <v>0</v>
          </cell>
          <cell r="U45">
            <v>0</v>
          </cell>
          <cell r="V45">
            <v>0</v>
          </cell>
          <cell r="W45">
            <v>32975.325000000004</v>
          </cell>
          <cell r="X45">
            <v>27718.989999999998</v>
          </cell>
          <cell r="Y45">
            <v>1624220.2073009827</v>
          </cell>
        </row>
        <row r="46">
          <cell r="D46">
            <v>2305</v>
          </cell>
          <cell r="E46" t="str">
            <v>Greengate Lane Academy</v>
          </cell>
          <cell r="F46">
            <v>182</v>
          </cell>
          <cell r="G46">
            <v>535036.06326941855</v>
          </cell>
          <cell r="H46">
            <v>38793.613388846512</v>
          </cell>
          <cell r="I46">
            <v>0</v>
          </cell>
          <cell r="J46">
            <v>24989.180460863314</v>
          </cell>
          <cell r="K46">
            <v>46502.576275144806</v>
          </cell>
          <cell r="L46">
            <v>809.37319695602605</v>
          </cell>
          <cell r="M46">
            <v>646130.80659122916</v>
          </cell>
          <cell r="N46">
            <v>130000</v>
          </cell>
          <cell r="O46">
            <v>2293.0116997260866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103778.09660050862</v>
          </cell>
          <cell r="U46">
            <v>103778.09660050862</v>
          </cell>
          <cell r="V46">
            <v>0</v>
          </cell>
          <cell r="W46">
            <v>0</v>
          </cell>
          <cell r="X46">
            <v>3905.75</v>
          </cell>
          <cell r="Y46">
            <v>886107.6648914637</v>
          </cell>
        </row>
        <row r="47">
          <cell r="D47">
            <v>2341</v>
          </cell>
          <cell r="E47" t="str">
            <v>Greenhill Primary School</v>
          </cell>
          <cell r="F47">
            <v>501</v>
          </cell>
          <cell r="G47">
            <v>1472819.0532855974</v>
          </cell>
          <cell r="H47">
            <v>54803.676057259283</v>
          </cell>
          <cell r="I47">
            <v>0</v>
          </cell>
          <cell r="J47">
            <v>50358.906817069597</v>
          </cell>
          <cell r="K47">
            <v>180719.77282881105</v>
          </cell>
          <cell r="L47">
            <v>5208.1434877046877</v>
          </cell>
          <cell r="M47">
            <v>1763909.552476442</v>
          </cell>
          <cell r="N47">
            <v>130000</v>
          </cell>
          <cell r="O47">
            <v>0</v>
          </cell>
          <cell r="P47">
            <v>0</v>
          </cell>
          <cell r="Q47">
            <v>0</v>
          </cell>
          <cell r="R47">
            <v>-20081.749094299717</v>
          </cell>
          <cell r="S47">
            <v>-20081.749094299717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6310.5</v>
          </cell>
          <cell r="Y47">
            <v>1880138.3033821427</v>
          </cell>
        </row>
        <row r="48">
          <cell r="D48">
            <v>2296</v>
          </cell>
          <cell r="E48" t="str">
            <v>Grenoside Community Primary School</v>
          </cell>
          <cell r="F48">
            <v>336</v>
          </cell>
          <cell r="G48">
            <v>987758.88603584969</v>
          </cell>
          <cell r="H48">
            <v>19704.692514969658</v>
          </cell>
          <cell r="I48">
            <v>0</v>
          </cell>
          <cell r="J48">
            <v>26828.485621688265</v>
          </cell>
          <cell r="K48">
            <v>87845.469004494516</v>
          </cell>
          <cell r="L48">
            <v>795.89434117801261</v>
          </cell>
          <cell r="M48">
            <v>1122933.4275181801</v>
          </cell>
          <cell r="N48">
            <v>130000</v>
          </cell>
          <cell r="O48">
            <v>0</v>
          </cell>
          <cell r="P48">
            <v>0</v>
          </cell>
          <cell r="Q48">
            <v>0</v>
          </cell>
          <cell r="R48">
            <v>-12836.136577208157</v>
          </cell>
          <cell r="S48">
            <v>-12836.136577208157</v>
          </cell>
          <cell r="T48">
            <v>0</v>
          </cell>
          <cell r="U48">
            <v>0</v>
          </cell>
          <cell r="V48">
            <v>137551.54599215728</v>
          </cell>
          <cell r="W48">
            <v>0</v>
          </cell>
          <cell r="X48">
            <v>41579.5</v>
          </cell>
          <cell r="Y48">
            <v>1419228.3369331295</v>
          </cell>
        </row>
        <row r="49">
          <cell r="D49">
            <v>2356</v>
          </cell>
          <cell r="E49" t="str">
            <v>Greystones Primary School</v>
          </cell>
          <cell r="F49">
            <v>595</v>
          </cell>
          <cell r="G49">
            <v>1749156.3606884838</v>
          </cell>
          <cell r="H49">
            <v>9852.346257484829</v>
          </cell>
          <cell r="I49">
            <v>0</v>
          </cell>
          <cell r="J49">
            <v>9957.6175948110103</v>
          </cell>
          <cell r="K49">
            <v>146400.25598033296</v>
          </cell>
          <cell r="L49">
            <v>13347.56606382023</v>
          </cell>
          <cell r="M49">
            <v>1928714.1465849325</v>
          </cell>
          <cell r="N49">
            <v>130000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48384</v>
          </cell>
          <cell r="Y49">
            <v>2107098.1465849327</v>
          </cell>
        </row>
        <row r="50">
          <cell r="D50">
            <v>2279</v>
          </cell>
          <cell r="E50" t="str">
            <v>Halfway Junior School</v>
          </cell>
          <cell r="F50">
            <v>195</v>
          </cell>
          <cell r="G50">
            <v>573252.9249315199</v>
          </cell>
          <cell r="H50">
            <v>14778.519386227241</v>
          </cell>
          <cell r="I50">
            <v>0</v>
          </cell>
          <cell r="J50">
            <v>14599.035186036057</v>
          </cell>
          <cell r="K50">
            <v>56425.617294838368</v>
          </cell>
          <cell r="L50">
            <v>1378.6026981119128</v>
          </cell>
          <cell r="M50">
            <v>660434.69949673349</v>
          </cell>
          <cell r="N50">
            <v>130000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15242.013999999999</v>
          </cell>
          <cell r="Y50">
            <v>805676.71349673346</v>
          </cell>
        </row>
        <row r="51">
          <cell r="D51">
            <v>2252</v>
          </cell>
          <cell r="E51" t="str">
            <v>Halfway Nursery Infant School</v>
          </cell>
          <cell r="F51">
            <v>157</v>
          </cell>
          <cell r="G51">
            <v>461542.09853460832</v>
          </cell>
          <cell r="H51">
            <v>10468.117898577628</v>
          </cell>
          <cell r="I51">
            <v>0</v>
          </cell>
          <cell r="J51">
            <v>9894.1932789204748</v>
          </cell>
          <cell r="K51">
            <v>33122.361264633451</v>
          </cell>
          <cell r="L51">
            <v>1475.7315245697998</v>
          </cell>
          <cell r="M51">
            <v>516502.50250130973</v>
          </cell>
          <cell r="N51">
            <v>130000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2566.8932235719467</v>
          </cell>
          <cell r="U51">
            <v>2566.8932235719467</v>
          </cell>
          <cell r="V51">
            <v>0</v>
          </cell>
          <cell r="W51">
            <v>0</v>
          </cell>
          <cell r="X51">
            <v>12600</v>
          </cell>
          <cell r="Y51">
            <v>661669.39572488191</v>
          </cell>
        </row>
        <row r="52">
          <cell r="D52">
            <v>2357</v>
          </cell>
          <cell r="E52" t="str">
            <v>Hallam Primary School</v>
          </cell>
          <cell r="F52">
            <v>626</v>
          </cell>
          <cell r="G52">
            <v>1840288.8769596484</v>
          </cell>
          <cell r="H52">
            <v>17241.605950598445</v>
          </cell>
          <cell r="I52">
            <v>0</v>
          </cell>
          <cell r="J52">
            <v>8435.4340134386275</v>
          </cell>
          <cell r="K52">
            <v>141053.41583421797</v>
          </cell>
          <cell r="L52">
            <v>16411.510598209814</v>
          </cell>
          <cell r="M52">
            <v>2023430.8433561134</v>
          </cell>
          <cell r="N52">
            <v>130000</v>
          </cell>
          <cell r="O52">
            <v>0</v>
          </cell>
          <cell r="P52">
            <v>31132.156643886512</v>
          </cell>
          <cell r="Q52">
            <v>31132.156643886512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6437</v>
          </cell>
          <cell r="Y52">
            <v>2190999.9999999991</v>
          </cell>
        </row>
        <row r="53">
          <cell r="D53">
            <v>2050</v>
          </cell>
          <cell r="E53" t="str">
            <v>Hartley Brook Primary School</v>
          </cell>
          <cell r="F53">
            <v>608</v>
          </cell>
          <cell r="G53">
            <v>1787373.222350585</v>
          </cell>
          <cell r="H53">
            <v>157637.54011975718</v>
          </cell>
          <cell r="I53">
            <v>0</v>
          </cell>
          <cell r="J53">
            <v>178095.47902056889</v>
          </cell>
          <cell r="K53">
            <v>262678.482048148</v>
          </cell>
          <cell r="L53">
            <v>21117.201019140713</v>
          </cell>
          <cell r="M53">
            <v>2406901.9245581999</v>
          </cell>
          <cell r="N53">
            <v>130000</v>
          </cell>
          <cell r="O53">
            <v>7270.670734985446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10257.457029512405</v>
          </cell>
          <cell r="U53">
            <v>10257.457029512405</v>
          </cell>
          <cell r="V53">
            <v>0</v>
          </cell>
          <cell r="W53">
            <v>0</v>
          </cell>
          <cell r="X53">
            <v>7081.31</v>
          </cell>
          <cell r="Y53">
            <v>2561511.362322697</v>
          </cell>
        </row>
        <row r="54">
          <cell r="D54">
            <v>2049</v>
          </cell>
          <cell r="E54" t="str">
            <v>Hatfield Academy</v>
          </cell>
          <cell r="F54">
            <v>368</v>
          </cell>
          <cell r="G54">
            <v>1081831.1608964067</v>
          </cell>
          <cell r="H54">
            <v>94213.061087198628</v>
          </cell>
          <cell r="I54">
            <v>0</v>
          </cell>
          <cell r="J54">
            <v>104206.15100811783</v>
          </cell>
          <cell r="K54">
            <v>155112.87683314379</v>
          </cell>
          <cell r="L54">
            <v>23974.237164726637</v>
          </cell>
          <cell r="M54">
            <v>1459337.4869895936</v>
          </cell>
          <cell r="N54">
            <v>130000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5040</v>
          </cell>
          <cell r="Y54">
            <v>1594377.4869895936</v>
          </cell>
        </row>
        <row r="55">
          <cell r="D55">
            <v>2297</v>
          </cell>
          <cell r="E55" t="str">
            <v>High Green Primary School</v>
          </cell>
          <cell r="F55">
            <v>213</v>
          </cell>
          <cell r="G55">
            <v>626168.57954058331</v>
          </cell>
          <cell r="H55">
            <v>9852.3462574848345</v>
          </cell>
          <cell r="I55">
            <v>0</v>
          </cell>
          <cell r="J55">
            <v>9767.34464713946</v>
          </cell>
          <cell r="K55">
            <v>67009.01170327561</v>
          </cell>
          <cell r="L55">
            <v>806.70982059845585</v>
          </cell>
          <cell r="M55">
            <v>713603.99196908169</v>
          </cell>
          <cell r="N55">
            <v>130000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10962</v>
          </cell>
          <cell r="Y55">
            <v>854565.99196908169</v>
          </cell>
        </row>
        <row r="56">
          <cell r="D56">
            <v>2042</v>
          </cell>
          <cell r="E56" t="str">
            <v>High Hazels Junior School</v>
          </cell>
          <cell r="F56">
            <v>361</v>
          </cell>
          <cell r="G56">
            <v>1061252.85077066</v>
          </cell>
          <cell r="H56">
            <v>56650.990980537812</v>
          </cell>
          <cell r="I56">
            <v>0</v>
          </cell>
          <cell r="J56">
            <v>93677.714570292068</v>
          </cell>
          <cell r="K56">
            <v>146897.07899651836</v>
          </cell>
          <cell r="L56">
            <v>28950.656660350152</v>
          </cell>
          <cell r="M56">
            <v>1387429.2919783583</v>
          </cell>
          <cell r="N56">
            <v>130000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63042.578688931171</v>
          </cell>
          <cell r="U56">
            <v>63042.578688931171</v>
          </cell>
          <cell r="V56">
            <v>0</v>
          </cell>
          <cell r="W56">
            <v>0</v>
          </cell>
          <cell r="X56">
            <v>4509.33122</v>
          </cell>
          <cell r="Y56">
            <v>1584981.2018872895</v>
          </cell>
        </row>
        <row r="57">
          <cell r="D57">
            <v>2039</v>
          </cell>
          <cell r="E57" t="str">
            <v>High Hazels Nursery Infant School</v>
          </cell>
          <cell r="F57">
            <v>260</v>
          </cell>
          <cell r="G57">
            <v>764337.23324202653</v>
          </cell>
          <cell r="H57">
            <v>32020.125336825706</v>
          </cell>
          <cell r="I57">
            <v>0</v>
          </cell>
          <cell r="J57">
            <v>66849.228948603864</v>
          </cell>
          <cell r="K57">
            <v>82548.951967712841</v>
          </cell>
          <cell r="L57">
            <v>68465.437366906306</v>
          </cell>
          <cell r="M57">
            <v>1014220.9768620753</v>
          </cell>
          <cell r="N57">
            <v>130000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44223.364353014957</v>
          </cell>
          <cell r="U57">
            <v>44223.364353014957</v>
          </cell>
          <cell r="V57">
            <v>0</v>
          </cell>
          <cell r="W57">
            <v>0</v>
          </cell>
          <cell r="X57">
            <v>3031.0587800000003</v>
          </cell>
          <cell r="Y57">
            <v>1191475.3999950907</v>
          </cell>
        </row>
        <row r="58">
          <cell r="D58">
            <v>2339</v>
          </cell>
          <cell r="E58" t="str">
            <v>Hillsborough Primary School</v>
          </cell>
          <cell r="F58">
            <v>353</v>
          </cell>
          <cell r="G58">
            <v>1037734.7820555206</v>
          </cell>
          <cell r="H58">
            <v>55419.447698352182</v>
          </cell>
          <cell r="I58">
            <v>0</v>
          </cell>
          <cell r="J58">
            <v>65263.62105134099</v>
          </cell>
          <cell r="K58">
            <v>185968.15934208821</v>
          </cell>
          <cell r="L58">
            <v>18657.383479878754</v>
          </cell>
          <cell r="M58">
            <v>1363043.393627181</v>
          </cell>
          <cell r="N58">
            <v>130000</v>
          </cell>
          <cell r="O58">
            <v>4909.3968442852829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4762.8500000000004</v>
          </cell>
          <cell r="Y58">
            <v>1502715.6404714661</v>
          </cell>
        </row>
        <row r="59">
          <cell r="D59">
            <v>2213</v>
          </cell>
          <cell r="E59" t="str">
            <v>Holt House Infant School</v>
          </cell>
          <cell r="F59">
            <v>169</v>
          </cell>
          <cell r="G59">
            <v>496819.20160731726</v>
          </cell>
          <cell r="H59">
            <v>8620.8029752992261</v>
          </cell>
          <cell r="I59">
            <v>0</v>
          </cell>
          <cell r="J59">
            <v>1148.4331484461277</v>
          </cell>
          <cell r="K59">
            <v>40583.612485021687</v>
          </cell>
          <cell r="L59">
            <v>6131.154104760888</v>
          </cell>
          <cell r="M59">
            <v>553303.20432084519</v>
          </cell>
          <cell r="N59">
            <v>130000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13230</v>
          </cell>
          <cell r="Y59">
            <v>696533.20432084519</v>
          </cell>
        </row>
        <row r="60">
          <cell r="D60">
            <v>2337</v>
          </cell>
          <cell r="E60" t="str">
            <v>Hucklow Primary School</v>
          </cell>
          <cell r="F60">
            <v>418</v>
          </cell>
          <cell r="G60">
            <v>1228819.0903660273</v>
          </cell>
          <cell r="H60">
            <v>78818.770059878676</v>
          </cell>
          <cell r="I60">
            <v>0</v>
          </cell>
          <cell r="J60">
            <v>108582.42880456329</v>
          </cell>
          <cell r="K60">
            <v>219651.56306895002</v>
          </cell>
          <cell r="L60">
            <v>65557.205270608407</v>
          </cell>
          <cell r="M60">
            <v>1701429.0575700279</v>
          </cell>
          <cell r="N60">
            <v>130000</v>
          </cell>
          <cell r="O60">
            <v>58.795171787905126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13910.62712136803</v>
          </cell>
          <cell r="U60">
            <v>13910.62712136803</v>
          </cell>
          <cell r="V60">
            <v>0</v>
          </cell>
          <cell r="W60">
            <v>0</v>
          </cell>
          <cell r="X60">
            <v>4662.25</v>
          </cell>
          <cell r="Y60">
            <v>1850060.7298631838</v>
          </cell>
        </row>
        <row r="61">
          <cell r="D61">
            <v>2060</v>
          </cell>
          <cell r="E61" t="str">
            <v>Hunter's Bar Infant School</v>
          </cell>
          <cell r="F61">
            <v>270</v>
          </cell>
          <cell r="G61">
            <v>793734.81913595065</v>
          </cell>
          <cell r="H61">
            <v>12931.204462948846</v>
          </cell>
          <cell r="I61">
            <v>0</v>
          </cell>
          <cell r="J61">
            <v>15221.835813723868</v>
          </cell>
          <cell r="K61">
            <v>73915.005460885688</v>
          </cell>
          <cell r="L61">
            <v>15509.280353759059</v>
          </cell>
          <cell r="M61">
            <v>911312.14522726811</v>
          </cell>
          <cell r="N61">
            <v>130000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13139.017</v>
          </cell>
          <cell r="Y61">
            <v>1054451.1622272681</v>
          </cell>
        </row>
        <row r="62">
          <cell r="D62">
            <v>2058</v>
          </cell>
          <cell r="E62" t="str">
            <v>Hunter's Bar Junior School</v>
          </cell>
          <cell r="F62">
            <v>354</v>
          </cell>
          <cell r="G62">
            <v>1040674.540644913</v>
          </cell>
          <cell r="H62">
            <v>19704.692514969665</v>
          </cell>
          <cell r="I62">
            <v>0</v>
          </cell>
          <cell r="J62">
            <v>14841.289918380731</v>
          </cell>
          <cell r="K62">
            <v>136015.13675453424</v>
          </cell>
          <cell r="L62">
            <v>5514.4107924476612</v>
          </cell>
          <cell r="M62">
            <v>1216750.0706252453</v>
          </cell>
          <cell r="N62">
            <v>130000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19873.483</v>
          </cell>
          <cell r="Y62">
            <v>1366623.5536252453</v>
          </cell>
        </row>
        <row r="63">
          <cell r="D63">
            <v>2063</v>
          </cell>
          <cell r="E63" t="str">
            <v>Intake Primary School</v>
          </cell>
          <cell r="F63">
            <v>409</v>
          </cell>
          <cell r="G63">
            <v>1202361.2630614955</v>
          </cell>
          <cell r="H63">
            <v>43104.014876496214</v>
          </cell>
          <cell r="I63">
            <v>0</v>
          </cell>
          <cell r="J63">
            <v>35073.646687455344</v>
          </cell>
          <cell r="K63">
            <v>139797.62882544371</v>
          </cell>
          <cell r="L63">
            <v>2827.3205764286622</v>
          </cell>
          <cell r="M63">
            <v>1423163.8740273195</v>
          </cell>
          <cell r="N63">
            <v>130000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27216</v>
          </cell>
          <cell r="Y63">
            <v>1580379.8740273195</v>
          </cell>
        </row>
        <row r="64">
          <cell r="D64">
            <v>2261</v>
          </cell>
          <cell r="E64" t="str">
            <v>Limpsfield Junior School</v>
          </cell>
          <cell r="F64">
            <v>234</v>
          </cell>
          <cell r="G64">
            <v>687903.50991782383</v>
          </cell>
          <cell r="H64">
            <v>33867.440260104107</v>
          </cell>
          <cell r="I64">
            <v>0</v>
          </cell>
          <cell r="J64">
            <v>35961.587109922519</v>
          </cell>
          <cell r="K64">
            <v>100417.86327478886</v>
          </cell>
          <cell r="L64">
            <v>12460.675031002933</v>
          </cell>
          <cell r="M64">
            <v>870611.07559364231</v>
          </cell>
          <cell r="N64">
            <v>130000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6779.5089900610301</v>
          </cell>
          <cell r="U64">
            <v>6779.5089900610301</v>
          </cell>
          <cell r="V64">
            <v>0</v>
          </cell>
          <cell r="W64">
            <v>0</v>
          </cell>
          <cell r="X64">
            <v>17712</v>
          </cell>
          <cell r="Y64">
            <v>1025102.5845837033</v>
          </cell>
        </row>
        <row r="65">
          <cell r="D65">
            <v>2315</v>
          </cell>
          <cell r="E65" t="str">
            <v>Lound Infant School</v>
          </cell>
          <cell r="F65">
            <v>152</v>
          </cell>
          <cell r="G65">
            <v>446843.30558764626</v>
          </cell>
          <cell r="H65">
            <v>6773.4880520208235</v>
          </cell>
          <cell r="I65">
            <v>0</v>
          </cell>
          <cell r="J65">
            <v>4439.7021123361164</v>
          </cell>
          <cell r="K65">
            <v>42847.392971238689</v>
          </cell>
          <cell r="L65">
            <v>1037.3644065000537</v>
          </cell>
          <cell r="M65">
            <v>501941.25312974199</v>
          </cell>
          <cell r="N65">
            <v>130000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2983.3</v>
          </cell>
          <cell r="Y65">
            <v>634924.55312974204</v>
          </cell>
        </row>
        <row r="66">
          <cell r="D66">
            <v>2298</v>
          </cell>
          <cell r="E66" t="str">
            <v>Lound Junior School</v>
          </cell>
          <cell r="F66">
            <v>232</v>
          </cell>
          <cell r="G66">
            <v>682023.99273903901</v>
          </cell>
          <cell r="H66">
            <v>9852.3462574848309</v>
          </cell>
          <cell r="I66">
            <v>0</v>
          </cell>
          <cell r="J66">
            <v>7610.9179068619114</v>
          </cell>
          <cell r="K66">
            <v>66273.550790050096</v>
          </cell>
          <cell r="L66">
            <v>0</v>
          </cell>
          <cell r="M66">
            <v>765760.80769343581</v>
          </cell>
          <cell r="N66">
            <v>130000</v>
          </cell>
          <cell r="O66">
            <v>0</v>
          </cell>
          <cell r="P66">
            <v>0</v>
          </cell>
          <cell r="Q66">
            <v>0</v>
          </cell>
          <cell r="R66">
            <v>-7822.1283805431649</v>
          </cell>
          <cell r="S66">
            <v>-7822.1283805431649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3124.6</v>
          </cell>
          <cell r="Y66">
            <v>891063.27931289293</v>
          </cell>
        </row>
        <row r="67">
          <cell r="D67">
            <v>2029</v>
          </cell>
          <cell r="E67" t="str">
            <v>Lowedges Junior Academy</v>
          </cell>
          <cell r="F67">
            <v>302</v>
          </cell>
          <cell r="G67">
            <v>887807.0939965077</v>
          </cell>
          <cell r="H67">
            <v>75124.14021332188</v>
          </cell>
          <cell r="I67">
            <v>0</v>
          </cell>
          <cell r="J67">
            <v>76616.573595743263</v>
          </cell>
          <cell r="K67">
            <v>116481.80257785629</v>
          </cell>
          <cell r="L67">
            <v>9782.3781679933691</v>
          </cell>
          <cell r="M67">
            <v>1165811.9885514225</v>
          </cell>
          <cell r="N67">
            <v>130000</v>
          </cell>
          <cell r="O67">
            <v>5526.7461480577249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3295.9416251750094</v>
          </cell>
          <cell r="U67">
            <v>3295.9416251750094</v>
          </cell>
          <cell r="V67">
            <v>0</v>
          </cell>
          <cell r="W67">
            <v>0</v>
          </cell>
          <cell r="X67">
            <v>4400.0200000000004</v>
          </cell>
          <cell r="Y67">
            <v>1309034.6963246553</v>
          </cell>
        </row>
        <row r="68">
          <cell r="D68">
            <v>2045</v>
          </cell>
          <cell r="E68" t="str">
            <v>Lower Meadow Primary School</v>
          </cell>
          <cell r="F68">
            <v>261</v>
          </cell>
          <cell r="G68">
            <v>767276.99183141894</v>
          </cell>
          <cell r="H68">
            <v>90518.431240641949</v>
          </cell>
          <cell r="I68">
            <v>0</v>
          </cell>
          <cell r="J68">
            <v>70908.385165596846</v>
          </cell>
          <cell r="K68">
            <v>132014.54626125173</v>
          </cell>
          <cell r="L68">
            <v>9154.5929167763679</v>
          </cell>
          <cell r="M68">
            <v>1069872.947415686</v>
          </cell>
          <cell r="N68">
            <v>130000</v>
          </cell>
          <cell r="O68">
            <v>3548.2769977975058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5439.4</v>
          </cell>
          <cell r="Y68">
            <v>1208860.6244134835</v>
          </cell>
        </row>
        <row r="69">
          <cell r="D69">
            <v>2070</v>
          </cell>
          <cell r="E69" t="str">
            <v>Lowfield Community Primary School</v>
          </cell>
          <cell r="F69">
            <v>366</v>
          </cell>
          <cell r="G69">
            <v>1075951.6437176219</v>
          </cell>
          <cell r="H69">
            <v>74508.368572229083</v>
          </cell>
          <cell r="I69">
            <v>0</v>
          </cell>
          <cell r="J69">
            <v>71669.476956282931</v>
          </cell>
          <cell r="K69">
            <v>165111.5474098096</v>
          </cell>
          <cell r="L69">
            <v>58866.335209378754</v>
          </cell>
          <cell r="M69">
            <v>1446107.3718653223</v>
          </cell>
          <cell r="N69">
            <v>130000</v>
          </cell>
          <cell r="O69">
            <v>3645.300650846586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34461.903127165679</v>
          </cell>
          <cell r="U69">
            <v>34461.903127165679</v>
          </cell>
          <cell r="V69">
            <v>0</v>
          </cell>
          <cell r="W69">
            <v>0</v>
          </cell>
          <cell r="X69">
            <v>24645.98</v>
          </cell>
          <cell r="Y69">
            <v>1638860.5556433343</v>
          </cell>
        </row>
        <row r="70">
          <cell r="D70">
            <v>2292</v>
          </cell>
          <cell r="E70" t="str">
            <v>Loxley Primary School</v>
          </cell>
          <cell r="F70">
            <v>212</v>
          </cell>
          <cell r="G70">
            <v>623228.82095119089</v>
          </cell>
          <cell r="H70">
            <v>3694.6298465568084</v>
          </cell>
          <cell r="I70">
            <v>0</v>
          </cell>
          <cell r="J70">
            <v>2727.2455832921837</v>
          </cell>
          <cell r="K70">
            <v>47719.284183966134</v>
          </cell>
          <cell r="L70">
            <v>401.46122527434812</v>
          </cell>
          <cell r="M70">
            <v>677771.4417902804</v>
          </cell>
          <cell r="N70">
            <v>130000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14238</v>
          </cell>
          <cell r="Y70">
            <v>822009.4417902804</v>
          </cell>
        </row>
        <row r="71">
          <cell r="D71">
            <v>2072</v>
          </cell>
          <cell r="E71" t="str">
            <v>Lydgate Infant School</v>
          </cell>
          <cell r="F71">
            <v>352</v>
          </cell>
          <cell r="G71">
            <v>1034795.0234661282</v>
          </cell>
          <cell r="H71">
            <v>17857.377591691253</v>
          </cell>
          <cell r="I71">
            <v>0</v>
          </cell>
          <cell r="J71">
            <v>4376.2777964456072</v>
          </cell>
          <cell r="K71">
            <v>93849.442038323832</v>
          </cell>
          <cell r="L71">
            <v>17779.221003236398</v>
          </cell>
          <cell r="M71">
            <v>1168657.3418958252</v>
          </cell>
          <cell r="N71">
            <v>130000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21762.82</v>
          </cell>
          <cell r="Y71">
            <v>1320420.1618958251</v>
          </cell>
        </row>
        <row r="72">
          <cell r="D72">
            <v>2071</v>
          </cell>
          <cell r="E72" t="str">
            <v>Lydgate Junior School</v>
          </cell>
          <cell r="F72">
            <v>481</v>
          </cell>
          <cell r="G72">
            <v>1414023.8814977491</v>
          </cell>
          <cell r="H72">
            <v>6773.4880520208326</v>
          </cell>
          <cell r="I72">
            <v>0</v>
          </cell>
          <cell r="J72">
            <v>4629.9750600076623</v>
          </cell>
          <cell r="K72">
            <v>154714.7907280795</v>
          </cell>
          <cell r="L72">
            <v>9305.5682122554117</v>
          </cell>
          <cell r="M72">
            <v>1589447.7035501124</v>
          </cell>
          <cell r="N72">
            <v>130000</v>
          </cell>
          <cell r="O72">
            <v>0</v>
          </cell>
          <cell r="P72">
            <v>0</v>
          </cell>
          <cell r="Q72">
            <v>0</v>
          </cell>
          <cell r="R72">
            <v>-13863.738334137173</v>
          </cell>
          <cell r="S72">
            <v>-13863.738334137173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23310</v>
          </cell>
          <cell r="Y72">
            <v>1728893.9652159757</v>
          </cell>
        </row>
        <row r="73">
          <cell r="D73">
            <v>2358</v>
          </cell>
          <cell r="E73" t="str">
            <v>Malin Bridge Primary School</v>
          </cell>
          <cell r="F73">
            <v>526</v>
          </cell>
          <cell r="G73">
            <v>1546313.0180204075</v>
          </cell>
          <cell r="H73">
            <v>39409.385029939207</v>
          </cell>
          <cell r="I73">
            <v>0</v>
          </cell>
          <cell r="J73">
            <v>17949.08139701602</v>
          </cell>
          <cell r="K73">
            <v>182915.59209249433</v>
          </cell>
          <cell r="L73">
            <v>4019.6508825214346</v>
          </cell>
          <cell r="M73">
            <v>1790606.7274223785</v>
          </cell>
          <cell r="N73">
            <v>130000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27174.19</v>
          </cell>
          <cell r="Y73">
            <v>1947780.9174223784</v>
          </cell>
        </row>
        <row r="74">
          <cell r="D74">
            <v>2359</v>
          </cell>
          <cell r="E74" t="str">
            <v>Manor Lodge Community Primary and Nursery School</v>
          </cell>
          <cell r="F74">
            <v>290</v>
          </cell>
          <cell r="G74">
            <v>852529.99092379876</v>
          </cell>
          <cell r="H74">
            <v>83129.171547528211</v>
          </cell>
          <cell r="I74">
            <v>0</v>
          </cell>
          <cell r="J74">
            <v>61585.01072969105</v>
          </cell>
          <cell r="K74">
            <v>165020.65912697167</v>
          </cell>
          <cell r="L74">
            <v>16791.380863003113</v>
          </cell>
          <cell r="M74">
            <v>1179056.2131909928</v>
          </cell>
          <cell r="N74">
            <v>130000</v>
          </cell>
          <cell r="O74">
            <v>2057.8310125747075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1506.7796089402857</v>
          </cell>
          <cell r="U74">
            <v>1506.7796089402857</v>
          </cell>
          <cell r="V74">
            <v>0</v>
          </cell>
          <cell r="W74">
            <v>0</v>
          </cell>
          <cell r="X74">
            <v>3503</v>
          </cell>
          <cell r="Y74">
            <v>1316123.8238125076</v>
          </cell>
        </row>
        <row r="75">
          <cell r="D75">
            <v>2012</v>
          </cell>
          <cell r="E75" t="str">
            <v>Mansel Primary</v>
          </cell>
          <cell r="F75">
            <v>391</v>
          </cell>
          <cell r="G75">
            <v>1149445.6084524321</v>
          </cell>
          <cell r="H75">
            <v>99139.234215941135</v>
          </cell>
          <cell r="I75">
            <v>0</v>
          </cell>
          <cell r="J75">
            <v>101605.75405660649</v>
          </cell>
          <cell r="K75">
            <v>207512.89285901387</v>
          </cell>
          <cell r="L75">
            <v>7155.3140039171494</v>
          </cell>
          <cell r="M75">
            <v>1564858.8035879105</v>
          </cell>
          <cell r="N75">
            <v>130000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10760.455888490094</v>
          </cell>
          <cell r="U75">
            <v>10760.455888490094</v>
          </cell>
          <cell r="V75">
            <v>0</v>
          </cell>
          <cell r="W75">
            <v>0</v>
          </cell>
          <cell r="X75">
            <v>4551.96</v>
          </cell>
          <cell r="Y75">
            <v>1710171.2194764006</v>
          </cell>
        </row>
        <row r="76">
          <cell r="D76">
            <v>2079</v>
          </cell>
          <cell r="E76" t="str">
            <v>Marlcliffe Community Primary School</v>
          </cell>
          <cell r="F76">
            <v>510</v>
          </cell>
          <cell r="G76">
            <v>1499276.8805901289</v>
          </cell>
          <cell r="H76">
            <v>33251.668619011165</v>
          </cell>
          <cell r="I76">
            <v>0</v>
          </cell>
          <cell r="J76">
            <v>26067.393831002057</v>
          </cell>
          <cell r="K76">
            <v>159371.22946695649</v>
          </cell>
          <cell r="L76">
            <v>5696.3097595596428</v>
          </cell>
          <cell r="M76">
            <v>1723663.4822666582</v>
          </cell>
          <cell r="N76">
            <v>130000</v>
          </cell>
          <cell r="O76">
            <v>0</v>
          </cell>
          <cell r="P76">
            <v>0</v>
          </cell>
          <cell r="Q76">
            <v>0</v>
          </cell>
          <cell r="R76">
            <v>-21656.008266631372</v>
          </cell>
          <cell r="S76">
            <v>-21656.008266631372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24720.43</v>
          </cell>
          <cell r="Y76">
            <v>1856727.9040000266</v>
          </cell>
        </row>
        <row r="77">
          <cell r="D77">
            <v>2081</v>
          </cell>
          <cell r="E77" t="str">
            <v>Meersbrook Bank Primary School</v>
          </cell>
          <cell r="F77">
            <v>208</v>
          </cell>
          <cell r="G77">
            <v>611469.78659362125</v>
          </cell>
          <cell r="H77">
            <v>9236.5746163920285</v>
          </cell>
          <cell r="I77">
            <v>0</v>
          </cell>
          <cell r="J77">
            <v>4059.1562169930189</v>
          </cell>
          <cell r="K77">
            <v>72062.103670926575</v>
          </cell>
          <cell r="L77">
            <v>4004.879346470364</v>
          </cell>
          <cell r="M77">
            <v>700832.50044440315</v>
          </cell>
          <cell r="N77">
            <v>130000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14494.21</v>
          </cell>
          <cell r="Y77">
            <v>845326.71044440311</v>
          </cell>
        </row>
        <row r="78">
          <cell r="D78">
            <v>2013</v>
          </cell>
          <cell r="E78" t="str">
            <v>Meynell Community Primary School</v>
          </cell>
          <cell r="F78">
            <v>386</v>
          </cell>
          <cell r="G78">
            <v>1134746.8155054701</v>
          </cell>
          <cell r="H78">
            <v>136701.30432260217</v>
          </cell>
          <cell r="I78">
            <v>0</v>
          </cell>
          <cell r="J78">
            <v>116510.4682908778</v>
          </cell>
          <cell r="K78">
            <v>229342.91588078599</v>
          </cell>
          <cell r="L78">
            <v>9675.2843903854264</v>
          </cell>
          <cell r="M78">
            <v>1626976.7883901217</v>
          </cell>
          <cell r="N78">
            <v>130000</v>
          </cell>
          <cell r="O78">
            <v>1293.4937793326651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6048</v>
          </cell>
          <cell r="Y78">
            <v>1764318.2821694545</v>
          </cell>
        </row>
        <row r="79">
          <cell r="D79">
            <v>2346</v>
          </cell>
          <cell r="E79" t="str">
            <v>Monteney Primary School</v>
          </cell>
          <cell r="F79">
            <v>416</v>
          </cell>
          <cell r="G79">
            <v>1222939.5731872425</v>
          </cell>
          <cell r="H79">
            <v>45567.101440867256</v>
          </cell>
          <cell r="I79">
            <v>0</v>
          </cell>
          <cell r="J79">
            <v>67546.896423399463</v>
          </cell>
          <cell r="K79">
            <v>151417.41421237163</v>
          </cell>
          <cell r="L79">
            <v>810.02644408835567</v>
          </cell>
          <cell r="M79">
            <v>1488281.0117079692</v>
          </cell>
          <cell r="N79">
            <v>130000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5715.93</v>
          </cell>
          <cell r="Y79">
            <v>1623996.9417079694</v>
          </cell>
        </row>
        <row r="80">
          <cell r="D80">
            <v>2257</v>
          </cell>
          <cell r="E80" t="str">
            <v>Mosborough Primary School</v>
          </cell>
          <cell r="F80">
            <v>415</v>
          </cell>
          <cell r="G80">
            <v>1219999.81459785</v>
          </cell>
          <cell r="H80">
            <v>22167.779079340864</v>
          </cell>
          <cell r="I80">
            <v>0</v>
          </cell>
          <cell r="J80">
            <v>8308.5853816575946</v>
          </cell>
          <cell r="K80">
            <v>110400.77609956116</v>
          </cell>
          <cell r="L80">
            <v>1616.1585302724429</v>
          </cell>
          <cell r="M80">
            <v>1362493.1136886822</v>
          </cell>
          <cell r="N80">
            <v>130000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152138.0459704469</v>
          </cell>
          <cell r="W80">
            <v>0</v>
          </cell>
          <cell r="X80">
            <v>37741</v>
          </cell>
          <cell r="Y80">
            <v>1682372.1596591291</v>
          </cell>
        </row>
        <row r="81">
          <cell r="D81">
            <v>2092</v>
          </cell>
          <cell r="E81" t="str">
            <v>Mundella Primary School</v>
          </cell>
          <cell r="F81">
            <v>412</v>
          </cell>
          <cell r="G81">
            <v>1211180.5388296728</v>
          </cell>
          <cell r="H81">
            <v>20320.464156062473</v>
          </cell>
          <cell r="I81">
            <v>0</v>
          </cell>
          <cell r="J81">
            <v>31521.884997586461</v>
          </cell>
          <cell r="K81">
            <v>133916.4124981596</v>
          </cell>
          <cell r="L81">
            <v>1210.193845785742</v>
          </cell>
          <cell r="M81">
            <v>1398149.4943272672</v>
          </cell>
          <cell r="N81">
            <v>130000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4761.7762486522224</v>
          </cell>
          <cell r="U81">
            <v>4761.7762486522224</v>
          </cell>
          <cell r="V81">
            <v>0</v>
          </cell>
          <cell r="W81">
            <v>0</v>
          </cell>
          <cell r="X81">
            <v>27467.5</v>
          </cell>
          <cell r="Y81">
            <v>1560378.770575919</v>
          </cell>
        </row>
        <row r="82">
          <cell r="D82">
            <v>2002</v>
          </cell>
          <cell r="E82" t="str">
            <v>Nether Edge Primary School</v>
          </cell>
          <cell r="F82">
            <v>404</v>
          </cell>
          <cell r="G82">
            <v>1187662.4701145336</v>
          </cell>
          <cell r="H82">
            <v>48645.959646331474</v>
          </cell>
          <cell r="I82">
            <v>0</v>
          </cell>
          <cell r="J82">
            <v>22261.934877571079</v>
          </cell>
          <cell r="K82">
            <v>207108.48522345256</v>
          </cell>
          <cell r="L82">
            <v>43690.789907611288</v>
          </cell>
          <cell r="M82">
            <v>1509369.6397694999</v>
          </cell>
          <cell r="N82">
            <v>130000</v>
          </cell>
          <cell r="O82">
            <v>3998.0716815737169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15173.721692755693</v>
          </cell>
          <cell r="U82">
            <v>15173.721692755693</v>
          </cell>
          <cell r="V82">
            <v>0</v>
          </cell>
          <cell r="W82">
            <v>0</v>
          </cell>
          <cell r="X82">
            <v>3585.18</v>
          </cell>
          <cell r="Y82">
            <v>1662126.6131438296</v>
          </cell>
        </row>
        <row r="83">
          <cell r="D83">
            <v>2221</v>
          </cell>
          <cell r="E83" t="str">
            <v>Nether Green Infant School</v>
          </cell>
          <cell r="F83">
            <v>209</v>
          </cell>
          <cell r="G83">
            <v>614409.54518301366</v>
          </cell>
          <cell r="H83">
            <v>7389.2596931136204</v>
          </cell>
          <cell r="I83">
            <v>0</v>
          </cell>
          <cell r="J83">
            <v>2410.1240038396018</v>
          </cell>
          <cell r="K83">
            <v>37574.482599132389</v>
          </cell>
          <cell r="L83">
            <v>7662.9777634412039</v>
          </cell>
          <cell r="M83">
            <v>669446.38924254035</v>
          </cell>
          <cell r="N83">
            <v>130000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14871.17</v>
          </cell>
          <cell r="Y83">
            <v>814317.55924254027</v>
          </cell>
        </row>
        <row r="84">
          <cell r="D84">
            <v>2087</v>
          </cell>
          <cell r="E84" t="str">
            <v>Nether Green Junior School</v>
          </cell>
          <cell r="F84">
            <v>381</v>
          </cell>
          <cell r="G84">
            <v>1120048.0225585082</v>
          </cell>
          <cell r="H84">
            <v>9236.5746163920358</v>
          </cell>
          <cell r="I84">
            <v>0</v>
          </cell>
          <cell r="J84">
            <v>8815.979908781721</v>
          </cell>
          <cell r="K84">
            <v>99666.628351085659</v>
          </cell>
          <cell r="L84">
            <v>8960.9175377274441</v>
          </cell>
          <cell r="M84">
            <v>1246728.1229724952</v>
          </cell>
          <cell r="N84">
            <v>130000</v>
          </cell>
          <cell r="O84">
            <v>0</v>
          </cell>
          <cell r="P84">
            <v>0</v>
          </cell>
          <cell r="Q84">
            <v>0</v>
          </cell>
          <cell r="R84">
            <v>-15292.701771985323</v>
          </cell>
          <cell r="S84">
            <v>-15292.701771985323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21294</v>
          </cell>
          <cell r="Y84">
            <v>1382729.4212005099</v>
          </cell>
        </row>
        <row r="85">
          <cell r="D85">
            <v>2272</v>
          </cell>
          <cell r="E85" t="str">
            <v>Netherthorpe Primary School</v>
          </cell>
          <cell r="F85">
            <v>209</v>
          </cell>
          <cell r="G85">
            <v>614409.54518301366</v>
          </cell>
          <cell r="H85">
            <v>40025.156671032106</v>
          </cell>
          <cell r="I85">
            <v>0</v>
          </cell>
          <cell r="J85">
            <v>45919.204704733565</v>
          </cell>
          <cell r="K85">
            <v>105375.65819822083</v>
          </cell>
          <cell r="L85">
            <v>40241.335740976261</v>
          </cell>
          <cell r="M85">
            <v>845970.90049797646</v>
          </cell>
          <cell r="N85">
            <v>130000</v>
          </cell>
          <cell r="O85">
            <v>5026.9871878610311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12992.457195452122</v>
          </cell>
          <cell r="U85">
            <v>12992.457195452122</v>
          </cell>
          <cell r="V85">
            <v>0</v>
          </cell>
          <cell r="W85">
            <v>0</v>
          </cell>
          <cell r="X85">
            <v>19690.629999999997</v>
          </cell>
          <cell r="Y85">
            <v>1013680.9748812896</v>
          </cell>
        </row>
        <row r="86">
          <cell r="D86">
            <v>2309</v>
          </cell>
          <cell r="E86" t="str">
            <v>Nook Lane Junior School</v>
          </cell>
          <cell r="F86">
            <v>244</v>
          </cell>
          <cell r="G86">
            <v>717301.09581174795</v>
          </cell>
          <cell r="H86">
            <v>11083.889539670439</v>
          </cell>
          <cell r="I86">
            <v>0</v>
          </cell>
          <cell r="J86">
            <v>4376.2777964456</v>
          </cell>
          <cell r="K86">
            <v>111975.49682360956</v>
          </cell>
          <cell r="L86">
            <v>0</v>
          </cell>
          <cell r="M86">
            <v>844736.7599714736</v>
          </cell>
          <cell r="N86">
            <v>130000</v>
          </cell>
          <cell r="O86">
            <v>0</v>
          </cell>
          <cell r="P86">
            <v>0</v>
          </cell>
          <cell r="Q86">
            <v>0</v>
          </cell>
          <cell r="R86">
            <v>-7312.7541196085758</v>
          </cell>
          <cell r="S86">
            <v>-7312.7541196085758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19943.98</v>
          </cell>
          <cell r="Y86">
            <v>987367.98585186503</v>
          </cell>
        </row>
        <row r="87">
          <cell r="D87">
            <v>2051</v>
          </cell>
          <cell r="E87" t="str">
            <v>Norfolk Community Primary School</v>
          </cell>
          <cell r="F87">
            <v>390</v>
          </cell>
          <cell r="G87">
            <v>1146505.8498630398</v>
          </cell>
          <cell r="H87">
            <v>91134.2028817346</v>
          </cell>
          <cell r="I87">
            <v>0</v>
          </cell>
          <cell r="J87">
            <v>110041.18807004525</v>
          </cell>
          <cell r="K87">
            <v>190844.43771081459</v>
          </cell>
          <cell r="L87">
            <v>18679.858311274762</v>
          </cell>
          <cell r="M87">
            <v>1557205.5368369091</v>
          </cell>
          <cell r="N87">
            <v>130000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2517.5304130438885</v>
          </cell>
          <cell r="U87">
            <v>2517.5304130438885</v>
          </cell>
          <cell r="V87">
            <v>0</v>
          </cell>
          <cell r="W87">
            <v>0</v>
          </cell>
          <cell r="X87">
            <v>10786.2</v>
          </cell>
          <cell r="Y87">
            <v>1700509.2672499528</v>
          </cell>
        </row>
        <row r="88">
          <cell r="D88">
            <v>3010</v>
          </cell>
          <cell r="E88" t="str">
            <v>Norton Free Church of England Primary School</v>
          </cell>
          <cell r="F88">
            <v>212</v>
          </cell>
          <cell r="G88">
            <v>623228.82095119089</v>
          </cell>
          <cell r="H88">
            <v>11083.889539670439</v>
          </cell>
          <cell r="I88">
            <v>0</v>
          </cell>
          <cell r="J88">
            <v>11923.771387417004</v>
          </cell>
          <cell r="K88">
            <v>83368.019255249106</v>
          </cell>
          <cell r="L88">
            <v>0</v>
          </cell>
          <cell r="M88">
            <v>729604.50113352737</v>
          </cell>
          <cell r="N88">
            <v>130000</v>
          </cell>
          <cell r="O88">
            <v>0</v>
          </cell>
          <cell r="P88">
            <v>0</v>
          </cell>
          <cell r="Q88">
            <v>0</v>
          </cell>
          <cell r="R88">
            <v>-17464.591682848059</v>
          </cell>
          <cell r="S88">
            <v>-17464.591682848059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4511.3500000000004</v>
          </cell>
          <cell r="Y88">
            <v>846651.25945067941</v>
          </cell>
        </row>
        <row r="89">
          <cell r="D89">
            <v>2018</v>
          </cell>
          <cell r="E89" t="str">
            <v>Oasis Academy Fir Vale</v>
          </cell>
          <cell r="F89">
            <v>363</v>
          </cell>
          <cell r="G89">
            <v>1067132.3679494448</v>
          </cell>
          <cell r="H89">
            <v>102218.09242140521</v>
          </cell>
          <cell r="I89">
            <v>0</v>
          </cell>
          <cell r="J89">
            <v>73839.044093499208</v>
          </cell>
          <cell r="K89">
            <v>333232.25349498424</v>
          </cell>
          <cell r="L89">
            <v>90512.359620812305</v>
          </cell>
          <cell r="M89">
            <v>1666934.1175801458</v>
          </cell>
          <cell r="N89">
            <v>130000</v>
          </cell>
          <cell r="O89">
            <v>24605.779393214449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50130.003557595497</v>
          </cell>
          <cell r="U89">
            <v>50130.003557595497</v>
          </cell>
          <cell r="V89">
            <v>0</v>
          </cell>
          <cell r="W89">
            <v>0</v>
          </cell>
          <cell r="X89">
            <v>8464.2800000000007</v>
          </cell>
          <cell r="Y89">
            <v>1880134.1805309553</v>
          </cell>
        </row>
        <row r="90">
          <cell r="D90">
            <v>2019</v>
          </cell>
          <cell r="E90" t="str">
            <v>Oasis Academy Watermead</v>
          </cell>
          <cell r="F90">
            <v>289</v>
          </cell>
          <cell r="G90">
            <v>849590.23233440635</v>
          </cell>
          <cell r="H90">
            <v>60345.620827094557</v>
          </cell>
          <cell r="I90">
            <v>0</v>
          </cell>
          <cell r="J90">
            <v>76489.72496396229</v>
          </cell>
          <cell r="K90">
            <v>159799.52555746154</v>
          </cell>
          <cell r="L90">
            <v>25309.224533575099</v>
          </cell>
          <cell r="M90">
            <v>1171534.3282164999</v>
          </cell>
          <cell r="N90">
            <v>130000</v>
          </cell>
          <cell r="O90">
            <v>12082.407802402779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92940.86638159123</v>
          </cell>
          <cell r="U90">
            <v>92940.86638159123</v>
          </cell>
          <cell r="V90">
            <v>0</v>
          </cell>
          <cell r="W90">
            <v>0</v>
          </cell>
          <cell r="X90">
            <v>11450.03</v>
          </cell>
          <cell r="Y90">
            <v>1418007.6324004938</v>
          </cell>
        </row>
        <row r="91">
          <cell r="D91">
            <v>2313</v>
          </cell>
          <cell r="E91" t="str">
            <v>Oughtibridge Primary School</v>
          </cell>
          <cell r="F91">
            <v>425</v>
          </cell>
          <cell r="G91">
            <v>1249397.4004917741</v>
          </cell>
          <cell r="H91">
            <v>13546.976104041634</v>
          </cell>
          <cell r="I91">
            <v>0</v>
          </cell>
          <cell r="J91">
            <v>1210.7596946002752</v>
          </cell>
          <cell r="K91">
            <v>95628.241463855389</v>
          </cell>
          <cell r="L91">
            <v>401.30557992983779</v>
          </cell>
          <cell r="M91">
            <v>1360184.6833342011</v>
          </cell>
          <cell r="N91">
            <v>130000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31914.36</v>
          </cell>
          <cell r="Y91">
            <v>1522099.043334201</v>
          </cell>
        </row>
        <row r="92">
          <cell r="D92">
            <v>2093</v>
          </cell>
          <cell r="E92" t="str">
            <v>Owler Brook Primary School</v>
          </cell>
          <cell r="F92">
            <v>451</v>
          </cell>
          <cell r="G92">
            <v>1325831.1238159768</v>
          </cell>
          <cell r="H92">
            <v>108991.58047342593</v>
          </cell>
          <cell r="I92">
            <v>0</v>
          </cell>
          <cell r="J92">
            <v>97736.870787285079</v>
          </cell>
          <cell r="K92">
            <v>276447.38809497975</v>
          </cell>
          <cell r="L92">
            <v>76334.424078724711</v>
          </cell>
          <cell r="M92">
            <v>1885341.3872503925</v>
          </cell>
          <cell r="N92">
            <v>130000</v>
          </cell>
          <cell r="O92">
            <v>4086.2644392554425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165335.56321125673</v>
          </cell>
          <cell r="W92">
            <v>0</v>
          </cell>
          <cell r="X92">
            <v>50058.39</v>
          </cell>
          <cell r="Y92">
            <v>2234821.6049009049</v>
          </cell>
        </row>
        <row r="93">
          <cell r="D93">
            <v>3428</v>
          </cell>
          <cell r="E93" t="str">
            <v>Parson Cross Church of England Primary School</v>
          </cell>
          <cell r="F93">
            <v>201</v>
          </cell>
          <cell r="G93">
            <v>590891.47646787437</v>
          </cell>
          <cell r="H93">
            <v>16625.834309505626</v>
          </cell>
          <cell r="I93">
            <v>0</v>
          </cell>
          <cell r="J93">
            <v>41289.229644725921</v>
          </cell>
          <cell r="K93">
            <v>88289.687627729654</v>
          </cell>
          <cell r="L93">
            <v>0</v>
          </cell>
          <cell r="M93">
            <v>737096.22804983554</v>
          </cell>
          <cell r="N93">
            <v>130000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3931</v>
          </cell>
          <cell r="Y93">
            <v>871027.22804983554</v>
          </cell>
        </row>
        <row r="94">
          <cell r="D94">
            <v>2016</v>
          </cell>
          <cell r="E94" t="str">
            <v>Pathways E-Act Primary Academy (Longley)</v>
          </cell>
          <cell r="F94">
            <v>410</v>
          </cell>
          <cell r="G94">
            <v>1205301.021650888</v>
          </cell>
          <cell r="H94">
            <v>110223.12375561167</v>
          </cell>
          <cell r="I94">
            <v>0</v>
          </cell>
          <cell r="J94">
            <v>122091.80808924325</v>
          </cell>
          <cell r="K94">
            <v>178520.29453878716</v>
          </cell>
          <cell r="L94">
            <v>16895.375457838894</v>
          </cell>
          <cell r="M94">
            <v>1633031.623492369</v>
          </cell>
          <cell r="N94">
            <v>130000</v>
          </cell>
          <cell r="O94">
            <v>4115.6620251494178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6349.8</v>
          </cell>
          <cell r="Y94">
            <v>1773497.0855175182</v>
          </cell>
        </row>
        <row r="95">
          <cell r="D95">
            <v>2332</v>
          </cell>
          <cell r="E95" t="str">
            <v>Phillimore Community Primary School</v>
          </cell>
          <cell r="F95">
            <v>399</v>
          </cell>
          <cell r="G95">
            <v>1172963.6771675714</v>
          </cell>
          <cell r="H95">
            <v>91749.974522827571</v>
          </cell>
          <cell r="I95">
            <v>0</v>
          </cell>
          <cell r="J95">
            <v>108265.30722511069</v>
          </cell>
          <cell r="K95">
            <v>209269.03523798243</v>
          </cell>
          <cell r="L95">
            <v>54773.170334094772</v>
          </cell>
          <cell r="M95">
            <v>1637021.1644875868</v>
          </cell>
          <cell r="N95">
            <v>130000</v>
          </cell>
          <cell r="O95">
            <v>8554.6974951319498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4813</v>
          </cell>
          <cell r="Y95">
            <v>1780388.8619827186</v>
          </cell>
        </row>
        <row r="96">
          <cell r="D96">
            <v>3433</v>
          </cell>
          <cell r="E96" t="str">
            <v>Pipworth Community Primary School</v>
          </cell>
          <cell r="F96">
            <v>407</v>
          </cell>
          <cell r="G96">
            <v>1196481.7458827107</v>
          </cell>
          <cell r="H96">
            <v>107760.03719124036</v>
          </cell>
          <cell r="I96">
            <v>0</v>
          </cell>
          <cell r="J96">
            <v>114988.28470950547</v>
          </cell>
          <cell r="K96">
            <v>178830.88932963207</v>
          </cell>
          <cell r="L96">
            <v>27664.918171763835</v>
          </cell>
          <cell r="M96">
            <v>1625725.8752848525</v>
          </cell>
          <cell r="N96">
            <v>130000</v>
          </cell>
          <cell r="O96">
            <v>7143.6133722235909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34503.452536700832</v>
          </cell>
          <cell r="U96">
            <v>34503.452536700832</v>
          </cell>
          <cell r="V96">
            <v>0</v>
          </cell>
          <cell r="W96">
            <v>0</v>
          </cell>
          <cell r="X96">
            <v>25597.82</v>
          </cell>
          <cell r="Y96">
            <v>1822970.7611937765</v>
          </cell>
        </row>
        <row r="97">
          <cell r="D97">
            <v>3427</v>
          </cell>
          <cell r="E97" t="str">
            <v>Porter Croft Church of England Primary Academy</v>
          </cell>
          <cell r="F97">
            <v>215</v>
          </cell>
          <cell r="G97">
            <v>632048.09671936813</v>
          </cell>
          <cell r="H97">
            <v>35714.755183382498</v>
          </cell>
          <cell r="I97">
            <v>0</v>
          </cell>
          <cell r="J97">
            <v>39830.470379244056</v>
          </cell>
          <cell r="K97">
            <v>81384.240123371157</v>
          </cell>
          <cell r="L97">
            <v>21228.618574304437</v>
          </cell>
          <cell r="M97">
            <v>810206.18097967026</v>
          </cell>
          <cell r="N97">
            <v>130000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48679.667020206951</v>
          </cell>
          <cell r="U97">
            <v>48679.667020206951</v>
          </cell>
          <cell r="V97">
            <v>0</v>
          </cell>
          <cell r="W97">
            <v>0</v>
          </cell>
          <cell r="X97">
            <v>2606.12</v>
          </cell>
          <cell r="Y97">
            <v>991491.96799987752</v>
          </cell>
        </row>
        <row r="98">
          <cell r="D98">
            <v>2347</v>
          </cell>
          <cell r="E98" t="str">
            <v>Prince Edward Primary School</v>
          </cell>
          <cell r="F98">
            <v>399</v>
          </cell>
          <cell r="G98">
            <v>1172963.6771675714</v>
          </cell>
          <cell r="H98">
            <v>115765.06852544668</v>
          </cell>
          <cell r="I98">
            <v>0</v>
          </cell>
          <cell r="J98">
            <v>110929.12849251243</v>
          </cell>
          <cell r="K98">
            <v>217094.53062240969</v>
          </cell>
          <cell r="L98">
            <v>16987.223540411374</v>
          </cell>
          <cell r="M98">
            <v>1633739.6283483515</v>
          </cell>
          <cell r="N98">
            <v>130000</v>
          </cell>
          <cell r="O98">
            <v>2969.1561752863263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69434.123336314922</v>
          </cell>
          <cell r="U98">
            <v>69434.123336314922</v>
          </cell>
          <cell r="V98">
            <v>0</v>
          </cell>
          <cell r="W98">
            <v>0</v>
          </cell>
          <cell r="X98">
            <v>48888</v>
          </cell>
          <cell r="Y98">
            <v>1885030.9078599534</v>
          </cell>
        </row>
        <row r="99">
          <cell r="D99">
            <v>2366</v>
          </cell>
          <cell r="E99" t="str">
            <v>Pye Bank CofE Primary School</v>
          </cell>
          <cell r="F99">
            <v>420</v>
          </cell>
          <cell r="G99">
            <v>1234698.6075448121</v>
          </cell>
          <cell r="H99">
            <v>106528.49390905477</v>
          </cell>
          <cell r="I99">
            <v>0</v>
          </cell>
          <cell r="J99">
            <v>121556.71272725523</v>
          </cell>
          <cell r="K99">
            <v>125964.14235655521</v>
          </cell>
          <cell r="L99">
            <v>60991.551952985006</v>
          </cell>
          <cell r="M99">
            <v>1649739.5084906623</v>
          </cell>
          <cell r="N99">
            <v>130000</v>
          </cell>
          <cell r="O99">
            <v>4409.63788408865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135971.88912396203</v>
          </cell>
          <cell r="U99">
            <v>135971.88912396203</v>
          </cell>
          <cell r="V99">
            <v>0</v>
          </cell>
          <cell r="W99">
            <v>0</v>
          </cell>
          <cell r="X99">
            <v>9763.42</v>
          </cell>
          <cell r="Y99">
            <v>1929884.4554987131</v>
          </cell>
        </row>
        <row r="100">
          <cell r="D100">
            <v>2363</v>
          </cell>
          <cell r="E100" t="str">
            <v>Rainbow Forge Primary Academy</v>
          </cell>
          <cell r="F100">
            <v>312</v>
          </cell>
          <cell r="G100">
            <v>917204.67989043181</v>
          </cell>
          <cell r="H100">
            <v>54187.904416166573</v>
          </cell>
          <cell r="I100">
            <v>0</v>
          </cell>
          <cell r="J100">
            <v>27209.031517031333</v>
          </cell>
          <cell r="K100">
            <v>146783.64212018531</v>
          </cell>
          <cell r="L100">
            <v>5083.2841304926587</v>
          </cell>
          <cell r="M100">
            <v>1150468.5420743078</v>
          </cell>
          <cell r="N100">
            <v>130000</v>
          </cell>
          <cell r="O100">
            <v>823.13240502987696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4108</v>
          </cell>
          <cell r="Y100">
            <v>1285399.6744793379</v>
          </cell>
        </row>
        <row r="101">
          <cell r="D101">
            <v>2334</v>
          </cell>
          <cell r="E101" t="str">
            <v>Reignhead Primary School</v>
          </cell>
          <cell r="F101">
            <v>269</v>
          </cell>
          <cell r="G101">
            <v>790795.06054655823</v>
          </cell>
          <cell r="H101">
            <v>40025.156671032135</v>
          </cell>
          <cell r="I101">
            <v>0</v>
          </cell>
          <cell r="J101">
            <v>13826.500864132482</v>
          </cell>
          <cell r="K101">
            <v>105109.09146596427</v>
          </cell>
          <cell r="L101">
            <v>3196.9321188974595</v>
          </cell>
          <cell r="M101">
            <v>952952.74166658462</v>
          </cell>
          <cell r="N101">
            <v>130000</v>
          </cell>
          <cell r="O101">
            <v>1793.2527395294042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30041</v>
          </cell>
          <cell r="Y101">
            <v>1114786.9944061139</v>
          </cell>
        </row>
        <row r="102">
          <cell r="D102">
            <v>2338</v>
          </cell>
          <cell r="E102" t="str">
            <v>Rivelin Primary School</v>
          </cell>
          <cell r="F102">
            <v>367</v>
          </cell>
          <cell r="G102">
            <v>1078891.4023070144</v>
          </cell>
          <cell r="H102">
            <v>29557.038772454536</v>
          </cell>
          <cell r="I102">
            <v>0</v>
          </cell>
          <cell r="J102">
            <v>19978.659505512522</v>
          </cell>
          <cell r="K102">
            <v>120024.15229276192</v>
          </cell>
          <cell r="L102">
            <v>11427.156165113011</v>
          </cell>
          <cell r="M102">
            <v>1259878.4090428564</v>
          </cell>
          <cell r="N102">
            <v>130000</v>
          </cell>
          <cell r="O102">
            <v>0</v>
          </cell>
          <cell r="P102">
            <v>0</v>
          </cell>
          <cell r="Q102">
            <v>0</v>
          </cell>
          <cell r="R102">
            <v>-15246.102349127632</v>
          </cell>
          <cell r="S102">
            <v>-15246.102349127632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24021</v>
          </cell>
          <cell r="Y102">
            <v>1398653.3066937288</v>
          </cell>
        </row>
        <row r="103">
          <cell r="D103">
            <v>2306</v>
          </cell>
          <cell r="E103" t="str">
            <v>Royd Nursery and Infant School</v>
          </cell>
          <cell r="F103">
            <v>153</v>
          </cell>
          <cell r="G103">
            <v>449783.06417703867</v>
          </cell>
          <cell r="H103">
            <v>15394.291027320094</v>
          </cell>
          <cell r="I103">
            <v>0</v>
          </cell>
          <cell r="J103">
            <v>2093.0024243870262</v>
          </cell>
          <cell r="K103">
            <v>47634.114630348544</v>
          </cell>
          <cell r="L103">
            <v>1535.8704816343889</v>
          </cell>
          <cell r="M103">
            <v>516440.34274072875</v>
          </cell>
          <cell r="N103">
            <v>130000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14864.01</v>
          </cell>
          <cell r="Y103">
            <v>661304.35274072876</v>
          </cell>
        </row>
        <row r="104">
          <cell r="D104">
            <v>3401</v>
          </cell>
          <cell r="E104" t="str">
            <v>Sacred Heart School, A Catholic Voluntary Academy</v>
          </cell>
          <cell r="F104">
            <v>209</v>
          </cell>
          <cell r="G104">
            <v>614409.54518301366</v>
          </cell>
          <cell r="H104">
            <v>11699.661180763236</v>
          </cell>
          <cell r="I104">
            <v>0</v>
          </cell>
          <cell r="J104">
            <v>13382.53065289886</v>
          </cell>
          <cell r="K104">
            <v>80622.107808262284</v>
          </cell>
          <cell r="L104">
            <v>12474.814079702606</v>
          </cell>
          <cell r="M104">
            <v>732588.6589046407</v>
          </cell>
          <cell r="N104">
            <v>130000</v>
          </cell>
          <cell r="O104">
            <v>0</v>
          </cell>
          <cell r="P104">
            <v>0</v>
          </cell>
          <cell r="Q104">
            <v>0</v>
          </cell>
          <cell r="R104">
            <v>-13710.310697754923</v>
          </cell>
          <cell r="S104">
            <v>-13710.310697754923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3603.95</v>
          </cell>
          <cell r="Y104">
            <v>852482.29820688593</v>
          </cell>
        </row>
        <row r="105">
          <cell r="D105">
            <v>2369</v>
          </cell>
          <cell r="E105" t="str">
            <v>Sharrow Nursery, Infant and Junior School</v>
          </cell>
          <cell r="F105">
            <v>412</v>
          </cell>
          <cell r="G105">
            <v>1211180.5388296728</v>
          </cell>
          <cell r="H105">
            <v>64040.250673651295</v>
          </cell>
          <cell r="I105">
            <v>0</v>
          </cell>
          <cell r="J105">
            <v>69639.898847786564</v>
          </cell>
          <cell r="K105">
            <v>182746.44763175212</v>
          </cell>
          <cell r="L105">
            <v>63958.573334217559</v>
          </cell>
          <cell r="M105">
            <v>1591565.7093170802</v>
          </cell>
          <cell r="N105">
            <v>130000</v>
          </cell>
          <cell r="O105">
            <v>235.18068715144881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45212.823518485435</v>
          </cell>
          <cell r="U105">
            <v>45212.823518485435</v>
          </cell>
          <cell r="V105">
            <v>0</v>
          </cell>
          <cell r="W105">
            <v>0</v>
          </cell>
          <cell r="X105">
            <v>50148</v>
          </cell>
          <cell r="Y105">
            <v>1817161.7135227167</v>
          </cell>
        </row>
        <row r="106">
          <cell r="D106">
            <v>2349</v>
          </cell>
          <cell r="E106" t="str">
            <v>Shooter's Grove Primary School</v>
          </cell>
          <cell r="F106">
            <v>369</v>
          </cell>
          <cell r="G106">
            <v>1084770.9194857993</v>
          </cell>
          <cell r="H106">
            <v>47414.416364145713</v>
          </cell>
          <cell r="I106">
            <v>0</v>
          </cell>
          <cell r="J106">
            <v>24228.088670177072</v>
          </cell>
          <cell r="K106">
            <v>112609.30886609254</v>
          </cell>
          <cell r="L106">
            <v>10990.527065503305</v>
          </cell>
          <cell r="M106">
            <v>1280013.260451718</v>
          </cell>
          <cell r="N106">
            <v>130000</v>
          </cell>
          <cell r="O106">
            <v>617.34930377239414</v>
          </cell>
          <cell r="P106">
            <v>0</v>
          </cell>
          <cell r="Q106">
            <v>0</v>
          </cell>
          <cell r="R106">
            <v>-1149.3881810853443</v>
          </cell>
          <cell r="S106">
            <v>-1149.3881810853443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26534.68</v>
          </cell>
          <cell r="Y106">
            <v>1436015.9015744051</v>
          </cell>
        </row>
        <row r="107">
          <cell r="D107">
            <v>2360</v>
          </cell>
          <cell r="E107" t="str">
            <v>Shortbrook Primary School</v>
          </cell>
          <cell r="F107">
            <v>91</v>
          </cell>
          <cell r="G107">
            <v>267518.03163470927</v>
          </cell>
          <cell r="H107">
            <v>27093.952208083316</v>
          </cell>
          <cell r="I107">
            <v>0</v>
          </cell>
          <cell r="J107">
            <v>15583.354414299776</v>
          </cell>
          <cell r="K107">
            <v>38418.651655885624</v>
          </cell>
          <cell r="L107">
            <v>1094.0655133271887</v>
          </cell>
          <cell r="M107">
            <v>349708.05542630516</v>
          </cell>
          <cell r="N107">
            <v>130000</v>
          </cell>
          <cell r="O107">
            <v>1734.4575677415262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110532.88792284674</v>
          </cell>
          <cell r="U107">
            <v>110532.88792284674</v>
          </cell>
          <cell r="V107">
            <v>0</v>
          </cell>
          <cell r="W107">
            <v>0</v>
          </cell>
          <cell r="X107">
            <v>12853.49</v>
          </cell>
          <cell r="Y107">
            <v>604828.89091689349</v>
          </cell>
        </row>
        <row r="108">
          <cell r="D108">
            <v>2009</v>
          </cell>
          <cell r="E108" t="str">
            <v>Southey Green Primary School and Nurseries</v>
          </cell>
          <cell r="F108">
            <v>614</v>
          </cell>
          <cell r="G108">
            <v>1805011.7738869395</v>
          </cell>
          <cell r="H108">
            <v>162563.71324849984</v>
          </cell>
          <cell r="I108">
            <v>0</v>
          </cell>
          <cell r="J108">
            <v>188042.23274397932</v>
          </cell>
          <cell r="K108">
            <v>308882.86609144806</v>
          </cell>
          <cell r="L108">
            <v>14080.88021978375</v>
          </cell>
          <cell r="M108">
            <v>2478581.4661906501</v>
          </cell>
          <cell r="N108">
            <v>130000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32692.760000000002</v>
          </cell>
          <cell r="X108">
            <v>8589.61</v>
          </cell>
          <cell r="Y108">
            <v>2649863.8361906502</v>
          </cell>
        </row>
        <row r="109">
          <cell r="D109">
            <v>2329</v>
          </cell>
          <cell r="E109" t="str">
            <v>Springfield Primary School</v>
          </cell>
          <cell r="F109">
            <v>198</v>
          </cell>
          <cell r="G109">
            <v>582072.20069969713</v>
          </cell>
          <cell r="H109">
            <v>28325.495490268855</v>
          </cell>
          <cell r="I109">
            <v>0</v>
          </cell>
          <cell r="J109">
            <v>33868.584685535519</v>
          </cell>
          <cell r="K109">
            <v>82426.43033213912</v>
          </cell>
          <cell r="L109">
            <v>43869.107286346982</v>
          </cell>
          <cell r="M109">
            <v>770561.81849398755</v>
          </cell>
          <cell r="N109">
            <v>130000</v>
          </cell>
          <cell r="O109">
            <v>2998.5537611802856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22575.824876627237</v>
          </cell>
          <cell r="U109">
            <v>22575.824876627237</v>
          </cell>
          <cell r="V109">
            <v>0</v>
          </cell>
          <cell r="W109">
            <v>0</v>
          </cell>
          <cell r="X109">
            <v>14355.89</v>
          </cell>
          <cell r="Y109">
            <v>940492.08713179489</v>
          </cell>
        </row>
        <row r="110">
          <cell r="D110">
            <v>5202</v>
          </cell>
          <cell r="E110" t="str">
            <v>St Ann's Catholic Primary School, A Voluntary Academy</v>
          </cell>
          <cell r="F110">
            <v>98</v>
          </cell>
          <cell r="G110">
            <v>288096.34176045615</v>
          </cell>
          <cell r="H110">
            <v>4926.1731287424163</v>
          </cell>
          <cell r="I110">
            <v>0</v>
          </cell>
          <cell r="J110">
            <v>3932.3075852119978</v>
          </cell>
          <cell r="K110">
            <v>31938.582606555585</v>
          </cell>
          <cell r="L110">
            <v>0</v>
          </cell>
          <cell r="M110">
            <v>328893.40508096619</v>
          </cell>
          <cell r="N110">
            <v>130000</v>
          </cell>
          <cell r="O110">
            <v>1234.6986075448158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19932.234091303901</v>
          </cell>
          <cell r="U110">
            <v>19932.234091303901</v>
          </cell>
          <cell r="V110">
            <v>0</v>
          </cell>
          <cell r="W110">
            <v>0</v>
          </cell>
          <cell r="X110">
            <v>2224.8599999999997</v>
          </cell>
          <cell r="Y110">
            <v>482285.19777981483</v>
          </cell>
        </row>
        <row r="111">
          <cell r="D111">
            <v>3402</v>
          </cell>
          <cell r="E111" t="str">
            <v>St Catherine's Catholic Voluntary Academy (Hallam)</v>
          </cell>
          <cell r="F111">
            <v>421</v>
          </cell>
          <cell r="G111">
            <v>1237638.3661342044</v>
          </cell>
          <cell r="H111">
            <v>57882.534262723304</v>
          </cell>
          <cell r="I111">
            <v>0</v>
          </cell>
          <cell r="J111">
            <v>95435.994408902843</v>
          </cell>
          <cell r="K111">
            <v>194793.22252915744</v>
          </cell>
          <cell r="L111">
            <v>45820.400203035519</v>
          </cell>
          <cell r="M111">
            <v>1631570.5175380236</v>
          </cell>
          <cell r="N111">
            <v>130000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8643.42</v>
          </cell>
          <cell r="Y111">
            <v>1770213.9375380236</v>
          </cell>
        </row>
        <row r="112">
          <cell r="D112">
            <v>2017</v>
          </cell>
          <cell r="E112" t="str">
            <v>St John Fisher Primary, A Catholic Voluntary Academy</v>
          </cell>
          <cell r="F112">
            <v>208</v>
          </cell>
          <cell r="G112">
            <v>611469.78659362125</v>
          </cell>
          <cell r="H112">
            <v>16010.062668412853</v>
          </cell>
          <cell r="I112">
            <v>0</v>
          </cell>
          <cell r="J112">
            <v>16236.624867972096</v>
          </cell>
          <cell r="K112">
            <v>88001.164750737895</v>
          </cell>
          <cell r="L112">
            <v>5638.3301360981613</v>
          </cell>
          <cell r="M112">
            <v>737355.96901684231</v>
          </cell>
          <cell r="N112">
            <v>130000</v>
          </cell>
          <cell r="O112">
            <v>0</v>
          </cell>
          <cell r="P112">
            <v>0</v>
          </cell>
          <cell r="Q112">
            <v>0</v>
          </cell>
          <cell r="R112">
            <v>-31206.61997298574</v>
          </cell>
          <cell r="S112">
            <v>-31206.61997298574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3199.55</v>
          </cell>
          <cell r="Y112">
            <v>839348.89904385665</v>
          </cell>
        </row>
        <row r="113">
          <cell r="D113">
            <v>5203</v>
          </cell>
          <cell r="E113" t="str">
            <v>St Joseph's Primary School</v>
          </cell>
          <cell r="F113">
            <v>200</v>
          </cell>
          <cell r="G113">
            <v>587951.71787848196</v>
          </cell>
          <cell r="H113">
            <v>12315.43282185604</v>
          </cell>
          <cell r="I113">
            <v>0</v>
          </cell>
          <cell r="J113">
            <v>18393.051608249629</v>
          </cell>
          <cell r="K113">
            <v>84735.015078616765</v>
          </cell>
          <cell r="L113">
            <v>405.47138179762163</v>
          </cell>
          <cell r="M113">
            <v>703800.68876900198</v>
          </cell>
          <cell r="N113">
            <v>130000</v>
          </cell>
          <cell r="O113">
            <v>0</v>
          </cell>
          <cell r="P113">
            <v>0</v>
          </cell>
          <cell r="Q113">
            <v>0</v>
          </cell>
          <cell r="R113">
            <v>-38710.313117317273</v>
          </cell>
          <cell r="S113">
            <v>-38710.313117317273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2999.35</v>
          </cell>
          <cell r="Y113">
            <v>798089.72565168457</v>
          </cell>
        </row>
        <row r="114">
          <cell r="D114">
            <v>3406</v>
          </cell>
          <cell r="E114" t="str">
            <v>St Marie's School, A Catholic Voluntary Academy</v>
          </cell>
          <cell r="F114">
            <v>269</v>
          </cell>
          <cell r="G114">
            <v>790795.06054655823</v>
          </cell>
          <cell r="H114">
            <v>6773.4880520208244</v>
          </cell>
          <cell r="I114">
            <v>0</v>
          </cell>
          <cell r="J114">
            <v>12050.620019198028</v>
          </cell>
          <cell r="K114">
            <v>84346.801793675128</v>
          </cell>
          <cell r="L114">
            <v>6206.5962475666111</v>
          </cell>
          <cell r="M114">
            <v>900172.56665901886</v>
          </cell>
          <cell r="N114">
            <v>130000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4853.8</v>
          </cell>
          <cell r="Y114">
            <v>1035026.3666590189</v>
          </cell>
        </row>
        <row r="115">
          <cell r="D115">
            <v>2020</v>
          </cell>
          <cell r="E115" t="str">
            <v>St Mary's Church of England Primary School</v>
          </cell>
          <cell r="F115">
            <v>171</v>
          </cell>
          <cell r="G115">
            <v>502698.71878610208</v>
          </cell>
          <cell r="H115">
            <v>17241.605950598507</v>
          </cell>
          <cell r="I115">
            <v>0</v>
          </cell>
          <cell r="J115">
            <v>19266.814830694228</v>
          </cell>
          <cell r="K115">
            <v>45961.69430476884</v>
          </cell>
          <cell r="L115">
            <v>19782.466688990557</v>
          </cell>
          <cell r="M115">
            <v>604951.30056115414</v>
          </cell>
          <cell r="N115">
            <v>130000</v>
          </cell>
          <cell r="O115">
            <v>6144.0954518301251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21015.097676648224</v>
          </cell>
          <cell r="U115">
            <v>21015.097676648224</v>
          </cell>
          <cell r="V115">
            <v>0</v>
          </cell>
          <cell r="W115">
            <v>0</v>
          </cell>
          <cell r="X115">
            <v>2419.4</v>
          </cell>
          <cell r="Y115">
            <v>764529.89368963265</v>
          </cell>
        </row>
        <row r="116">
          <cell r="D116">
            <v>3423</v>
          </cell>
          <cell r="E116" t="str">
            <v>St Mary's Primary School, A Catholic Voluntary Academy</v>
          </cell>
          <cell r="F116">
            <v>192</v>
          </cell>
          <cell r="G116">
            <v>564433.64916334266</v>
          </cell>
          <cell r="H116">
            <v>4310.4014876496103</v>
          </cell>
          <cell r="I116">
            <v>0</v>
          </cell>
          <cell r="J116">
            <v>8498.8583293291395</v>
          </cell>
          <cell r="K116">
            <v>54738.896877805186</v>
          </cell>
          <cell r="L116">
            <v>3503.2727387314485</v>
          </cell>
          <cell r="M116">
            <v>635485.07859685819</v>
          </cell>
          <cell r="N116">
            <v>130000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14543.768521902281</v>
          </cell>
          <cell r="U116">
            <v>14543.768521902281</v>
          </cell>
          <cell r="V116">
            <v>0</v>
          </cell>
          <cell r="W116">
            <v>0</v>
          </cell>
          <cell r="X116">
            <v>3477.7</v>
          </cell>
          <cell r="Y116">
            <v>783506.54711876065</v>
          </cell>
        </row>
        <row r="117">
          <cell r="D117">
            <v>5207</v>
          </cell>
          <cell r="E117" t="str">
            <v>St Patrick's Catholic Voluntary Academy</v>
          </cell>
          <cell r="F117">
            <v>280</v>
          </cell>
          <cell r="G117">
            <v>823132.40502987476</v>
          </cell>
          <cell r="H117">
            <v>26478.180566990563</v>
          </cell>
          <cell r="I117">
            <v>0</v>
          </cell>
          <cell r="J117">
            <v>68942.231372990776</v>
          </cell>
          <cell r="K117">
            <v>99548.82890354986</v>
          </cell>
          <cell r="L117">
            <v>20207.723309931003</v>
          </cell>
          <cell r="M117">
            <v>1038309.3691833369</v>
          </cell>
          <cell r="N117">
            <v>130000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4032.25</v>
          </cell>
          <cell r="Y117">
            <v>1172341.6191833369</v>
          </cell>
        </row>
        <row r="118">
          <cell r="D118">
            <v>5208</v>
          </cell>
          <cell r="E118" t="str">
            <v>St Theresa's Catholic Primary School</v>
          </cell>
          <cell r="F118">
            <v>207</v>
          </cell>
          <cell r="G118">
            <v>608530.02800422884</v>
          </cell>
          <cell r="H118">
            <v>28941.267131361652</v>
          </cell>
          <cell r="I118">
            <v>0</v>
          </cell>
          <cell r="J118">
            <v>51373.695871317941</v>
          </cell>
          <cell r="K118">
            <v>77274.778436380511</v>
          </cell>
          <cell r="L118">
            <v>14028.056949186532</v>
          </cell>
          <cell r="M118">
            <v>780147.82639247552</v>
          </cell>
          <cell r="N118">
            <v>130000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9488.4400352057364</v>
          </cell>
          <cell r="U118">
            <v>9488.4400352057364</v>
          </cell>
          <cell r="V118">
            <v>0</v>
          </cell>
          <cell r="W118">
            <v>0</v>
          </cell>
          <cell r="X118">
            <v>3361.35</v>
          </cell>
          <cell r="Y118">
            <v>922997.61642768153</v>
          </cell>
        </row>
        <row r="119">
          <cell r="D119">
            <v>3424</v>
          </cell>
          <cell r="E119" t="str">
            <v>St Thomas More Catholic Primary, A Voluntary Academy</v>
          </cell>
          <cell r="F119">
            <v>206</v>
          </cell>
          <cell r="G119">
            <v>605590.26941483642</v>
          </cell>
          <cell r="H119">
            <v>15394.291027320067</v>
          </cell>
          <cell r="I119">
            <v>0</v>
          </cell>
          <cell r="J119">
            <v>37166.649111842329</v>
          </cell>
          <cell r="K119">
            <v>49264.08367371757</v>
          </cell>
          <cell r="L119">
            <v>4033.9794859524736</v>
          </cell>
          <cell r="M119">
            <v>711449.27271366899</v>
          </cell>
          <cell r="N119">
            <v>130000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9031.4924609740519</v>
          </cell>
          <cell r="U119">
            <v>9031.4924609740519</v>
          </cell>
          <cell r="V119">
            <v>0</v>
          </cell>
          <cell r="W119">
            <v>0</v>
          </cell>
          <cell r="X119">
            <v>2771.5</v>
          </cell>
          <cell r="Y119">
            <v>853252.26517464302</v>
          </cell>
        </row>
        <row r="120">
          <cell r="D120">
            <v>3414</v>
          </cell>
          <cell r="E120" t="str">
            <v>St Thomas of Canterbury School, a Catholic Voluntary Academy</v>
          </cell>
          <cell r="F120">
            <v>209</v>
          </cell>
          <cell r="G120">
            <v>614409.54518301366</v>
          </cell>
          <cell r="H120">
            <v>7389.2596931136204</v>
          </cell>
          <cell r="I120">
            <v>0</v>
          </cell>
          <cell r="J120">
            <v>12114.044335088547</v>
          </cell>
          <cell r="K120">
            <v>38143.79294154355</v>
          </cell>
          <cell r="L120">
            <v>5231.3736463269161</v>
          </cell>
          <cell r="M120">
            <v>677288.01579908631</v>
          </cell>
          <cell r="N120">
            <v>130000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8115.6018902299775</v>
          </cell>
          <cell r="U120">
            <v>8115.6018902299775</v>
          </cell>
          <cell r="V120">
            <v>0</v>
          </cell>
          <cell r="W120">
            <v>0</v>
          </cell>
          <cell r="X120">
            <v>3804.22</v>
          </cell>
          <cell r="Y120">
            <v>819207.83768931648</v>
          </cell>
        </row>
        <row r="121">
          <cell r="D121">
            <v>3412</v>
          </cell>
          <cell r="E121" t="str">
            <v>St Wilfrid's Catholic Primary School</v>
          </cell>
          <cell r="F121">
            <v>310</v>
          </cell>
          <cell r="G121">
            <v>911325.16271164699</v>
          </cell>
          <cell r="H121">
            <v>3078.8582054640069</v>
          </cell>
          <cell r="I121">
            <v>0</v>
          </cell>
          <cell r="J121">
            <v>6342.4315890515909</v>
          </cell>
          <cell r="K121">
            <v>45347.911181826959</v>
          </cell>
          <cell r="L121">
            <v>5241.2913899915202</v>
          </cell>
          <cell r="M121">
            <v>971335.65507798106</v>
          </cell>
          <cell r="N121">
            <v>130000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3982.3999999999996</v>
          </cell>
          <cell r="Y121">
            <v>1105318.055077981</v>
          </cell>
        </row>
        <row r="122">
          <cell r="D122">
            <v>2294</v>
          </cell>
          <cell r="E122" t="str">
            <v>Stannington Infant School</v>
          </cell>
          <cell r="F122">
            <v>180</v>
          </cell>
          <cell r="G122">
            <v>529156.54609063372</v>
          </cell>
          <cell r="H122">
            <v>3078.8582054640128</v>
          </cell>
          <cell r="I122">
            <v>0</v>
          </cell>
          <cell r="J122">
            <v>3551.7616898688925</v>
          </cell>
          <cell r="K122">
            <v>42706.447599622908</v>
          </cell>
          <cell r="L122">
            <v>1033.9520235839375</v>
          </cell>
          <cell r="M122">
            <v>579527.56560917338</v>
          </cell>
          <cell r="N122">
            <v>130000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6177.1394321359076</v>
          </cell>
          <cell r="U122">
            <v>6177.1394321359076</v>
          </cell>
          <cell r="V122">
            <v>0</v>
          </cell>
          <cell r="W122">
            <v>0</v>
          </cell>
          <cell r="X122">
            <v>9408.8700000000008</v>
          </cell>
          <cell r="Y122">
            <v>725113.57504130958</v>
          </cell>
        </row>
        <row r="123">
          <cell r="D123">
            <v>2303</v>
          </cell>
          <cell r="E123" t="str">
            <v>Stocksbridge Junior School</v>
          </cell>
          <cell r="F123">
            <v>369</v>
          </cell>
          <cell r="G123">
            <v>1084770.9194857993</v>
          </cell>
          <cell r="H123">
            <v>35714.755183382491</v>
          </cell>
          <cell r="I123">
            <v>0</v>
          </cell>
          <cell r="J123">
            <v>17425.486093550313</v>
          </cell>
          <cell r="K123">
            <v>184370.14294742577</v>
          </cell>
          <cell r="L123">
            <v>689.30134905595742</v>
          </cell>
          <cell r="M123">
            <v>1322970.6050592137</v>
          </cell>
          <cell r="N123">
            <v>130000</v>
          </cell>
          <cell r="O123">
            <v>0</v>
          </cell>
          <cell r="P123">
            <v>0</v>
          </cell>
          <cell r="Q123">
            <v>0</v>
          </cell>
          <cell r="R123">
            <v>-53578.616428628266</v>
          </cell>
          <cell r="S123">
            <v>-53578.616428628266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19487.78</v>
          </cell>
          <cell r="Y123">
            <v>1418879.7686305856</v>
          </cell>
        </row>
        <row r="124">
          <cell r="D124">
            <v>2302</v>
          </cell>
          <cell r="E124" t="str">
            <v>Stocksbridge Nursery Infant School</v>
          </cell>
          <cell r="F124">
            <v>209</v>
          </cell>
          <cell r="G124">
            <v>614409.54518301366</v>
          </cell>
          <cell r="H124">
            <v>22167.779079340853</v>
          </cell>
          <cell r="I124">
            <v>0</v>
          </cell>
          <cell r="J124">
            <v>10147.890542482553</v>
          </cell>
          <cell r="K124">
            <v>67404.78478711097</v>
          </cell>
          <cell r="L124">
            <v>980.02708811356774</v>
          </cell>
          <cell r="M124">
            <v>715110.02668006171</v>
          </cell>
          <cell r="N124">
            <v>130000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16506</v>
          </cell>
          <cell r="Y124">
            <v>861616.02668006171</v>
          </cell>
        </row>
        <row r="125">
          <cell r="D125">
            <v>2350</v>
          </cell>
          <cell r="E125" t="str">
            <v>Stradbroke Primary School</v>
          </cell>
          <cell r="F125">
            <v>417</v>
          </cell>
          <cell r="G125">
            <v>1225879.3317766348</v>
          </cell>
          <cell r="H125">
            <v>80050.313342064343</v>
          </cell>
          <cell r="I125">
            <v>0</v>
          </cell>
          <cell r="J125">
            <v>72874.538958202917</v>
          </cell>
          <cell r="K125">
            <v>192539.34692514615</v>
          </cell>
          <cell r="L125">
            <v>6055.5898010463688</v>
          </cell>
          <cell r="M125">
            <v>1577399.1208030945</v>
          </cell>
          <cell r="N125">
            <v>130000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28805.55</v>
          </cell>
          <cell r="Y125">
            <v>1736204.6708030943</v>
          </cell>
        </row>
        <row r="126">
          <cell r="D126">
            <v>2230</v>
          </cell>
          <cell r="E126" t="str">
            <v>Tinsley Meadows Primary School</v>
          </cell>
          <cell r="F126">
            <v>525</v>
          </cell>
          <cell r="G126">
            <v>1543373.259431015</v>
          </cell>
          <cell r="H126">
            <v>73892.596931136388</v>
          </cell>
          <cell r="I126">
            <v>0</v>
          </cell>
          <cell r="J126">
            <v>116954.4385021114</v>
          </cell>
          <cell r="K126">
            <v>228483.70633920477</v>
          </cell>
          <cell r="L126">
            <v>92841.21609146148</v>
          </cell>
          <cell r="M126">
            <v>2055545.2172949291</v>
          </cell>
          <cell r="N126">
            <v>130000</v>
          </cell>
          <cell r="O126">
            <v>7496.384402950709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2719.85</v>
          </cell>
          <cell r="Y126">
            <v>2195761.451697879</v>
          </cell>
        </row>
        <row r="127">
          <cell r="D127">
            <v>5206</v>
          </cell>
          <cell r="E127" t="str">
            <v>Totley All Saints Church of England Voluntary Aided Primary School</v>
          </cell>
          <cell r="F127">
            <v>209</v>
          </cell>
          <cell r="G127">
            <v>614409.54518301366</v>
          </cell>
          <cell r="H127">
            <v>4926.1731287424172</v>
          </cell>
          <cell r="I127">
            <v>0</v>
          </cell>
          <cell r="J127">
            <v>1649.0322131534117</v>
          </cell>
          <cell r="K127">
            <v>40541.402783583319</v>
          </cell>
          <cell r="L127">
            <v>1609.65342963905</v>
          </cell>
          <cell r="M127">
            <v>663135.8067381318</v>
          </cell>
          <cell r="N127">
            <v>130000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3226.2</v>
          </cell>
          <cell r="Y127">
            <v>796362.00673813175</v>
          </cell>
        </row>
        <row r="128">
          <cell r="D128">
            <v>2203</v>
          </cell>
          <cell r="E128" t="str">
            <v>Totley Primary School</v>
          </cell>
          <cell r="F128">
            <v>310</v>
          </cell>
          <cell r="G128">
            <v>911325.16271164699</v>
          </cell>
          <cell r="H128">
            <v>12931.20446294885</v>
          </cell>
          <cell r="I128">
            <v>0</v>
          </cell>
          <cell r="J128">
            <v>1458.7592654818673</v>
          </cell>
          <cell r="K128">
            <v>76652.598255733232</v>
          </cell>
          <cell r="L128">
            <v>7236.291054830459</v>
          </cell>
          <cell r="M128">
            <v>1009604.0157506414</v>
          </cell>
          <cell r="N128">
            <v>130000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3856.48</v>
          </cell>
          <cell r="Y128">
            <v>1143460.4957506415</v>
          </cell>
        </row>
        <row r="129">
          <cell r="D129">
            <v>2034</v>
          </cell>
          <cell r="E129" t="str">
            <v>Valley Park Community School</v>
          </cell>
          <cell r="F129">
            <v>372</v>
          </cell>
          <cell r="G129">
            <v>1093590.1952539764</v>
          </cell>
          <cell r="H129">
            <v>112070.43867888997</v>
          </cell>
          <cell r="I129">
            <v>0</v>
          </cell>
          <cell r="J129">
            <v>104459.84827167974</v>
          </cell>
          <cell r="K129">
            <v>193593.88889029322</v>
          </cell>
          <cell r="L129">
            <v>8493.4103136043159</v>
          </cell>
          <cell r="M129">
            <v>1512207.7814084438</v>
          </cell>
          <cell r="N129">
            <v>130000</v>
          </cell>
          <cell r="O129">
            <v>9936.3840321462958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29990.191625924486</v>
          </cell>
          <cell r="U129">
            <v>29990.191625924486</v>
          </cell>
          <cell r="V129">
            <v>0</v>
          </cell>
          <cell r="W129">
            <v>0</v>
          </cell>
          <cell r="X129">
            <v>9929</v>
          </cell>
          <cell r="Y129">
            <v>1692063.357066514</v>
          </cell>
        </row>
        <row r="130">
          <cell r="D130">
            <v>2351</v>
          </cell>
          <cell r="E130" t="str">
            <v>Walkley Primary School</v>
          </cell>
          <cell r="F130">
            <v>306</v>
          </cell>
          <cell r="G130">
            <v>899566.12835407734</v>
          </cell>
          <cell r="H130">
            <v>38793.613388846439</v>
          </cell>
          <cell r="I130">
            <v>0</v>
          </cell>
          <cell r="J130">
            <v>34439.403528550123</v>
          </cell>
          <cell r="K130">
            <v>106208.8233229632</v>
          </cell>
          <cell r="L130">
            <v>20330.237379385286</v>
          </cell>
          <cell r="M130">
            <v>1099338.2059738224</v>
          </cell>
          <cell r="N130">
            <v>130000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90422.621428163126</v>
          </cell>
          <cell r="U130">
            <v>90422.621428163126</v>
          </cell>
          <cell r="V130">
            <v>0</v>
          </cell>
          <cell r="W130">
            <v>0</v>
          </cell>
          <cell r="X130">
            <v>23275.25</v>
          </cell>
          <cell r="Y130">
            <v>1343036.0774019859</v>
          </cell>
        </row>
        <row r="131">
          <cell r="D131">
            <v>3432</v>
          </cell>
          <cell r="E131" t="str">
            <v>Watercliffe Meadow Community Primary School</v>
          </cell>
          <cell r="F131">
            <v>420</v>
          </cell>
          <cell r="G131">
            <v>1234698.6075448121</v>
          </cell>
          <cell r="H131">
            <v>93597.289446105948</v>
          </cell>
          <cell r="I131">
            <v>0</v>
          </cell>
          <cell r="J131">
            <v>109533.79354292106</v>
          </cell>
          <cell r="K131">
            <v>160313.43406627671</v>
          </cell>
          <cell r="L131">
            <v>10483.524695948534</v>
          </cell>
          <cell r="M131">
            <v>1608626.6492960644</v>
          </cell>
          <cell r="N131">
            <v>130000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2401.0683752007803</v>
          </cell>
          <cell r="U131">
            <v>2401.0683752007803</v>
          </cell>
          <cell r="V131">
            <v>0</v>
          </cell>
          <cell r="W131">
            <v>0</v>
          </cell>
          <cell r="X131">
            <v>45314.46</v>
          </cell>
          <cell r="Y131">
            <v>1786342.1776712656</v>
          </cell>
        </row>
        <row r="132">
          <cell r="D132">
            <v>2319</v>
          </cell>
          <cell r="E132" t="str">
            <v>Waterthorpe Infant School</v>
          </cell>
          <cell r="F132">
            <v>137</v>
          </cell>
          <cell r="G132">
            <v>402746.92674676015</v>
          </cell>
          <cell r="H132">
            <v>19088.920873876887</v>
          </cell>
          <cell r="I132">
            <v>0</v>
          </cell>
          <cell r="J132">
            <v>12494.590230431641</v>
          </cell>
          <cell r="K132">
            <v>50006.695052549774</v>
          </cell>
          <cell r="L132">
            <v>2314.5658044280926</v>
          </cell>
          <cell r="M132">
            <v>486651.69870804652</v>
          </cell>
          <cell r="N132">
            <v>130000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17136</v>
          </cell>
          <cell r="Y132">
            <v>633787.69870804646</v>
          </cell>
        </row>
        <row r="133">
          <cell r="D133">
            <v>2352</v>
          </cell>
          <cell r="E133" t="str">
            <v>Westways Primary School</v>
          </cell>
          <cell r="F133">
            <v>574</v>
          </cell>
          <cell r="G133">
            <v>1687421.4303112433</v>
          </cell>
          <cell r="H133">
            <v>33867.440260104129</v>
          </cell>
          <cell r="I133">
            <v>0</v>
          </cell>
          <cell r="J133">
            <v>26574.788358126181</v>
          </cell>
          <cell r="K133">
            <v>206349.45672990501</v>
          </cell>
          <cell r="L133">
            <v>37261.087876444282</v>
          </cell>
          <cell r="M133">
            <v>1991474.2035358227</v>
          </cell>
          <cell r="N133">
            <v>130000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30472.75</v>
          </cell>
          <cell r="Y133">
            <v>2151946.9535358227</v>
          </cell>
        </row>
        <row r="134">
          <cell r="D134">
            <v>2311</v>
          </cell>
          <cell r="E134" t="str">
            <v>Wharncliffe Side Primary School</v>
          </cell>
          <cell r="F134">
            <v>146</v>
          </cell>
          <cell r="G134">
            <v>429204.75405129179</v>
          </cell>
          <cell r="H134">
            <v>12315.43282185604</v>
          </cell>
          <cell r="I134">
            <v>0</v>
          </cell>
          <cell r="J134">
            <v>2663.8212674016736</v>
          </cell>
          <cell r="K134">
            <v>64465.894846411662</v>
          </cell>
          <cell r="L134">
            <v>0</v>
          </cell>
          <cell r="M134">
            <v>508649.90298696118</v>
          </cell>
          <cell r="N134">
            <v>130000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13384.147106341494</v>
          </cell>
          <cell r="U134">
            <v>13384.147106341494</v>
          </cell>
          <cell r="V134">
            <v>0</v>
          </cell>
          <cell r="W134">
            <v>0</v>
          </cell>
          <cell r="X134">
            <v>14096.73</v>
          </cell>
          <cell r="Y134">
            <v>666130.78009330272</v>
          </cell>
        </row>
        <row r="135">
          <cell r="D135">
            <v>2040</v>
          </cell>
          <cell r="E135" t="str">
            <v>Whiteways Primary School</v>
          </cell>
          <cell r="F135">
            <v>446</v>
          </cell>
          <cell r="G135">
            <v>1311132.3308690148</v>
          </cell>
          <cell r="H135">
            <v>101602.32078031242</v>
          </cell>
          <cell r="I135">
            <v>0</v>
          </cell>
          <cell r="J135">
            <v>95922.36524660603</v>
          </cell>
          <cell r="K135">
            <v>251970.13326538872</v>
          </cell>
          <cell r="L135">
            <v>75874.27304864279</v>
          </cell>
          <cell r="M135">
            <v>1836501.4232099648</v>
          </cell>
          <cell r="N135">
            <v>130000</v>
          </cell>
          <cell r="O135">
            <v>12170.600560084533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7030.6410904236036</v>
          </cell>
          <cell r="U135">
            <v>7030.6410904236036</v>
          </cell>
          <cell r="V135">
            <v>0</v>
          </cell>
          <cell r="W135">
            <v>0</v>
          </cell>
          <cell r="X135">
            <v>35784</v>
          </cell>
          <cell r="Y135">
            <v>2021486.6648604732</v>
          </cell>
        </row>
        <row r="136">
          <cell r="D136">
            <v>2027</v>
          </cell>
          <cell r="E136" t="str">
            <v>Wincobank Nursery and Infant School</v>
          </cell>
          <cell r="F136">
            <v>165</v>
          </cell>
          <cell r="G136">
            <v>485060.16724974761</v>
          </cell>
          <cell r="H136">
            <v>40025.156671032135</v>
          </cell>
          <cell r="I136">
            <v>0</v>
          </cell>
          <cell r="J136">
            <v>26194.242462783106</v>
          </cell>
          <cell r="K136">
            <v>71590.634219977394</v>
          </cell>
          <cell r="L136">
            <v>16461.604586007372</v>
          </cell>
          <cell r="M136">
            <v>639331.80518954771</v>
          </cell>
          <cell r="N136">
            <v>130000</v>
          </cell>
          <cell r="O136">
            <v>1322.8913652265715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5273.733830930264</v>
          </cell>
          <cell r="U136">
            <v>5273.733830930264</v>
          </cell>
          <cell r="V136">
            <v>0</v>
          </cell>
          <cell r="W136">
            <v>0</v>
          </cell>
          <cell r="X136">
            <v>2369.1</v>
          </cell>
          <cell r="Y136">
            <v>778297.53038570448</v>
          </cell>
        </row>
        <row r="137">
          <cell r="D137">
            <v>2361</v>
          </cell>
          <cell r="E137" t="str">
            <v>Windmill Hill Primary School</v>
          </cell>
          <cell r="F137">
            <v>372</v>
          </cell>
          <cell r="G137">
            <v>1093590.1952539764</v>
          </cell>
          <cell r="H137">
            <v>23399.322361526571</v>
          </cell>
          <cell r="I137">
            <v>0</v>
          </cell>
          <cell r="J137">
            <v>20486.054032636672</v>
          </cell>
          <cell r="K137">
            <v>110024.82270533551</v>
          </cell>
          <cell r="L137">
            <v>3215.299082743772</v>
          </cell>
          <cell r="M137">
            <v>1250715.6934362187</v>
          </cell>
          <cell r="N137">
            <v>130000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4506.6900000000005</v>
          </cell>
          <cell r="Y137">
            <v>1385222.3834362186</v>
          </cell>
        </row>
        <row r="138">
          <cell r="D138">
            <v>2043</v>
          </cell>
          <cell r="E138" t="str">
            <v>Wisewood Community Primary School</v>
          </cell>
          <cell r="F138">
            <v>158</v>
          </cell>
          <cell r="G138">
            <v>464481.85712400073</v>
          </cell>
          <cell r="H138">
            <v>32020.125336825717</v>
          </cell>
          <cell r="I138">
            <v>0</v>
          </cell>
          <cell r="J138">
            <v>9640.4960153584161</v>
          </cell>
          <cell r="K138">
            <v>68401.620901959963</v>
          </cell>
          <cell r="L138">
            <v>2367.600285887851</v>
          </cell>
          <cell r="M138">
            <v>576911.69966403267</v>
          </cell>
          <cell r="N138">
            <v>130000</v>
          </cell>
          <cell r="O138">
            <v>352.77103072710008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35045.966036375175</v>
          </cell>
          <cell r="U138">
            <v>35045.966036375175</v>
          </cell>
          <cell r="V138">
            <v>0</v>
          </cell>
          <cell r="W138">
            <v>0</v>
          </cell>
          <cell r="X138">
            <v>2350.79</v>
          </cell>
          <cell r="Y138">
            <v>744661.22673113493</v>
          </cell>
        </row>
        <row r="139">
          <cell r="D139">
            <v>2139</v>
          </cell>
          <cell r="E139" t="str">
            <v>Woodhouse West Primary School</v>
          </cell>
          <cell r="F139">
            <v>341</v>
          </cell>
          <cell r="G139">
            <v>1002457.6789828117</v>
          </cell>
          <cell r="H139">
            <v>68350.652161300939</v>
          </cell>
          <cell r="I139">
            <v>0</v>
          </cell>
          <cell r="J139">
            <v>60443.373043661726</v>
          </cell>
          <cell r="K139">
            <v>143328.19165913312</v>
          </cell>
          <cell r="L139">
            <v>5779.9613121659377</v>
          </cell>
          <cell r="M139">
            <v>1280359.8571590735</v>
          </cell>
          <cell r="N139">
            <v>130000</v>
          </cell>
          <cell r="O139">
            <v>2910.3610034984708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25452</v>
          </cell>
          <cell r="Y139">
            <v>1438722.218162572</v>
          </cell>
        </row>
        <row r="140">
          <cell r="D140">
            <v>2324</v>
          </cell>
          <cell r="E140" t="str">
            <v>Woodseats Primary School</v>
          </cell>
          <cell r="F140">
            <v>357</v>
          </cell>
          <cell r="G140">
            <v>1049493.8164130903</v>
          </cell>
          <cell r="H140">
            <v>54187.904416166595</v>
          </cell>
          <cell r="I140">
            <v>0</v>
          </cell>
          <cell r="J140">
            <v>32726.946999506279</v>
          </cell>
          <cell r="K140">
            <v>128505.82648755288</v>
          </cell>
          <cell r="L140">
            <v>8202.6860537658886</v>
          </cell>
          <cell r="M140">
            <v>1273117.1803700819</v>
          </cell>
          <cell r="N140">
            <v>130000</v>
          </cell>
          <cell r="O140">
            <v>0</v>
          </cell>
          <cell r="P140">
            <v>0</v>
          </cell>
          <cell r="Q140">
            <v>0</v>
          </cell>
          <cell r="R140">
            <v>-11134.24101251508</v>
          </cell>
          <cell r="S140">
            <v>-11134.24101251508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24019.06</v>
          </cell>
          <cell r="Y140">
            <v>1416001.9993575669</v>
          </cell>
        </row>
        <row r="141">
          <cell r="D141">
            <v>2327</v>
          </cell>
          <cell r="E141" t="str">
            <v>Woodthorpe Primary School</v>
          </cell>
          <cell r="F141">
            <v>402</v>
          </cell>
          <cell r="G141">
            <v>1181782.9529357487</v>
          </cell>
          <cell r="H141">
            <v>120691.24165418911</v>
          </cell>
          <cell r="I141">
            <v>0</v>
          </cell>
          <cell r="J141">
            <v>113719.79839169521</v>
          </cell>
          <cell r="K141">
            <v>187715.01153283034</v>
          </cell>
          <cell r="L141">
            <v>7270.8229763395138</v>
          </cell>
          <cell r="M141">
            <v>1611179.8274908029</v>
          </cell>
          <cell r="N141">
            <v>130000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46358</v>
          </cell>
          <cell r="Y141">
            <v>1787537.8274908029</v>
          </cell>
        </row>
        <row r="142">
          <cell r="D142">
            <v>2321</v>
          </cell>
          <cell r="E142" t="str">
            <v>Wybourn Community Primary School</v>
          </cell>
          <cell r="F142">
            <v>405</v>
          </cell>
          <cell r="G142">
            <v>1190602.2287039259</v>
          </cell>
          <cell r="H142">
            <v>108991.58047342594</v>
          </cell>
          <cell r="I142">
            <v>0</v>
          </cell>
          <cell r="J142">
            <v>124737.37322601629</v>
          </cell>
          <cell r="K142">
            <v>220425.10557085573</v>
          </cell>
          <cell r="L142">
            <v>12137.697668159235</v>
          </cell>
          <cell r="M142">
            <v>1656893.9856423831</v>
          </cell>
          <cell r="N142">
            <v>130000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10000</v>
          </cell>
          <cell r="X142">
            <v>5090</v>
          </cell>
          <cell r="Y142">
            <v>1801983.9856423831</v>
          </cell>
        </row>
        <row r="143"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D144">
            <v>0</v>
          </cell>
          <cell r="E144" t="str">
            <v>Total Primary</v>
          </cell>
          <cell r="F144">
            <v>43727</v>
          </cell>
          <cell r="G144">
            <v>128546823.83836193</v>
          </cell>
          <cell r="H144">
            <v>5960669.4857783252</v>
          </cell>
          <cell r="I144">
            <v>0</v>
          </cell>
          <cell r="J144">
            <v>5913497.6780758239</v>
          </cell>
          <cell r="K144">
            <v>16874948.003567699</v>
          </cell>
          <cell r="L144">
            <v>2012792.6374648528</v>
          </cell>
          <cell r="M144">
            <v>159308731.64324862</v>
          </cell>
          <cell r="N144">
            <v>17381000</v>
          </cell>
          <cell r="O144">
            <v>179754.91552514021</v>
          </cell>
          <cell r="P144">
            <v>31132.156643886512</v>
          </cell>
          <cell r="Q144">
            <v>31132.156643886512</v>
          </cell>
          <cell r="R144">
            <v>-437625.77190778364</v>
          </cell>
          <cell r="S144">
            <v>-437625.77190778364</v>
          </cell>
          <cell r="T144">
            <v>1480180.6871519443</v>
          </cell>
          <cell r="U144">
            <v>1480180.6871519443</v>
          </cell>
          <cell r="V144">
            <v>455025.15517386096</v>
          </cell>
          <cell r="W144">
            <v>119104.08921052632</v>
          </cell>
          <cell r="X144">
            <v>2075916.2579999999</v>
          </cell>
          <cell r="Y144">
            <v>180593219.13304612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22</v>
          </cell>
          <cell r="T145">
            <v>0</v>
          </cell>
          <cell r="U145">
            <v>46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D146">
            <v>0</v>
          </cell>
          <cell r="E146" t="str">
            <v>Secondary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-3265.863969461072</v>
          </cell>
          <cell r="T146">
            <v>0</v>
          </cell>
          <cell r="U146">
            <v>11046.124530984658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4800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D148">
            <v>5401</v>
          </cell>
          <cell r="E148" t="str">
            <v>All Saints' Catholic High School</v>
          </cell>
          <cell r="F148">
            <v>1029</v>
          </cell>
          <cell r="G148">
            <v>4113822.666894183</v>
          </cell>
          <cell r="H148">
            <v>105863.48395300137</v>
          </cell>
          <cell r="I148">
            <v>0</v>
          </cell>
          <cell r="J148">
            <v>213491.48382915679</v>
          </cell>
          <cell r="K148">
            <v>353637.03240793903</v>
          </cell>
          <cell r="L148">
            <v>15386.785661626896</v>
          </cell>
          <cell r="M148">
            <v>4802201.452745907</v>
          </cell>
          <cell r="N148">
            <v>130000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36503.65</v>
          </cell>
          <cell r="Y148">
            <v>4968705.1027459074</v>
          </cell>
        </row>
        <row r="149">
          <cell r="D149">
            <v>4276</v>
          </cell>
          <cell r="E149" t="str">
            <v>The Birley Academy</v>
          </cell>
          <cell r="F149">
            <v>1139</v>
          </cell>
          <cell r="G149">
            <v>4549272.9531266149</v>
          </cell>
          <cell r="H149">
            <v>163535.38192739725</v>
          </cell>
          <cell r="I149">
            <v>0</v>
          </cell>
          <cell r="J149">
            <v>122808.43450743903</v>
          </cell>
          <cell r="K149">
            <v>574686.06274245295</v>
          </cell>
          <cell r="L149">
            <v>961.67410385167909</v>
          </cell>
          <cell r="M149">
            <v>5411264.5064077554</v>
          </cell>
          <cell r="N149">
            <v>130000</v>
          </cell>
          <cell r="O149">
            <v>0</v>
          </cell>
          <cell r="P149">
            <v>0</v>
          </cell>
          <cell r="Q149">
            <v>0</v>
          </cell>
          <cell r="R149">
            <v>-114062.38328850325</v>
          </cell>
          <cell r="S149">
            <v>-114062.38328850325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43390</v>
          </cell>
          <cell r="Y149">
            <v>5470592.1231192537</v>
          </cell>
        </row>
        <row r="150">
          <cell r="D150">
            <v>4272</v>
          </cell>
          <cell r="E150" t="str">
            <v>Bradfield School</v>
          </cell>
          <cell r="F150">
            <v>960</v>
          </cell>
          <cell r="G150">
            <v>3803220.2540944424</v>
          </cell>
          <cell r="H150">
            <v>63202.079971941108</v>
          </cell>
          <cell r="I150">
            <v>0</v>
          </cell>
          <cell r="J150">
            <v>17811.289508032543</v>
          </cell>
          <cell r="K150">
            <v>240782.26763947585</v>
          </cell>
          <cell r="L150">
            <v>2885.022311555037</v>
          </cell>
          <cell r="M150">
            <v>4127900.9135254472</v>
          </cell>
          <cell r="N150">
            <v>130000</v>
          </cell>
          <cell r="O150">
            <v>0</v>
          </cell>
          <cell r="P150">
            <v>0</v>
          </cell>
          <cell r="Q150">
            <v>0</v>
          </cell>
          <cell r="R150">
            <v>-4440.6027176529242</v>
          </cell>
          <cell r="S150">
            <v>-4440.6027176529242</v>
          </cell>
          <cell r="T150">
            <v>0</v>
          </cell>
          <cell r="U150">
            <v>0</v>
          </cell>
          <cell r="V150">
            <v>437444.46783790039</v>
          </cell>
          <cell r="W150">
            <v>0</v>
          </cell>
          <cell r="X150">
            <v>37773.78</v>
          </cell>
          <cell r="Y150">
            <v>4728678.5586456936</v>
          </cell>
        </row>
        <row r="151">
          <cell r="D151">
            <v>4000</v>
          </cell>
          <cell r="E151" t="str">
            <v>Chaucer School</v>
          </cell>
          <cell r="F151">
            <v>840</v>
          </cell>
          <cell r="G151">
            <v>3317354.2443968803</v>
          </cell>
          <cell r="H151">
            <v>248068.16388986906</v>
          </cell>
          <cell r="I151">
            <v>0</v>
          </cell>
          <cell r="J151">
            <v>307590.39689214207</v>
          </cell>
          <cell r="K151">
            <v>453276.8515232146</v>
          </cell>
          <cell r="L151">
            <v>8655.0669346650993</v>
          </cell>
          <cell r="M151">
            <v>4334944.7236367706</v>
          </cell>
          <cell r="N151">
            <v>130000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19108.72</v>
          </cell>
          <cell r="Y151">
            <v>4484053.4436367713</v>
          </cell>
        </row>
        <row r="152">
          <cell r="D152">
            <v>4012</v>
          </cell>
          <cell r="E152" t="str">
            <v>Ecclesfield School</v>
          </cell>
          <cell r="F152">
            <v>1701</v>
          </cell>
          <cell r="G152">
            <v>6784286.65052527</v>
          </cell>
          <cell r="H152">
            <v>203036.68190986087</v>
          </cell>
          <cell r="I152">
            <v>0</v>
          </cell>
          <cell r="J152">
            <v>222112.4732714016</v>
          </cell>
          <cell r="K152">
            <v>664826.83632941276</v>
          </cell>
          <cell r="L152">
            <v>961.67410385167977</v>
          </cell>
          <cell r="M152">
            <v>7875224.3161397967</v>
          </cell>
          <cell r="N152">
            <v>130000</v>
          </cell>
          <cell r="O152">
            <v>0</v>
          </cell>
          <cell r="P152">
            <v>0</v>
          </cell>
          <cell r="Q152">
            <v>0</v>
          </cell>
          <cell r="R152">
            <v>-40672.404362369147</v>
          </cell>
          <cell r="S152">
            <v>-40672.404362369147</v>
          </cell>
          <cell r="T152">
            <v>0</v>
          </cell>
          <cell r="U152">
            <v>0</v>
          </cell>
          <cell r="V152">
            <v>623582.68962826545</v>
          </cell>
          <cell r="W152">
            <v>0</v>
          </cell>
          <cell r="X152">
            <v>42840</v>
          </cell>
          <cell r="Y152">
            <v>8630974.6014056932</v>
          </cell>
        </row>
        <row r="153">
          <cell r="D153">
            <v>4280</v>
          </cell>
          <cell r="E153" t="str">
            <v>Fir Vale School</v>
          </cell>
          <cell r="F153">
            <v>1061</v>
          </cell>
          <cell r="G153">
            <v>4226538.0537272375</v>
          </cell>
          <cell r="H153">
            <v>349981.51784462394</v>
          </cell>
          <cell r="I153">
            <v>0</v>
          </cell>
          <cell r="J153">
            <v>286200.58346468722</v>
          </cell>
          <cell r="K153">
            <v>702323.5152445673</v>
          </cell>
          <cell r="L153">
            <v>107910.91322842549</v>
          </cell>
          <cell r="M153">
            <v>5672954.5835095411</v>
          </cell>
          <cell r="N153">
            <v>130000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1676.1509037544895</v>
          </cell>
          <cell r="U153">
            <v>1676.1509037544895</v>
          </cell>
          <cell r="V153">
            <v>388960.16090275696</v>
          </cell>
          <cell r="W153">
            <v>0</v>
          </cell>
          <cell r="X153">
            <v>29483.5</v>
          </cell>
          <cell r="Y153">
            <v>6223074.3953160513</v>
          </cell>
        </row>
        <row r="154">
          <cell r="D154">
            <v>4003</v>
          </cell>
          <cell r="E154" t="str">
            <v>Firth Park Academy</v>
          </cell>
          <cell r="F154">
            <v>1146</v>
          </cell>
          <cell r="G154">
            <v>4557278.4286274258</v>
          </cell>
          <cell r="H154">
            <v>335761.04985093698</v>
          </cell>
          <cell r="I154">
            <v>0</v>
          </cell>
          <cell r="J154">
            <v>401388.92135537951</v>
          </cell>
          <cell r="K154">
            <v>631146.46782927471</v>
          </cell>
          <cell r="L154">
            <v>94326.371402073681</v>
          </cell>
          <cell r="M154">
            <v>6019901.2390650911</v>
          </cell>
          <cell r="N154">
            <v>130000</v>
          </cell>
          <cell r="O154">
            <v>4937.5904515538123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25315.39</v>
          </cell>
          <cell r="Y154">
            <v>6180154.2195166452</v>
          </cell>
        </row>
        <row r="155">
          <cell r="D155">
            <v>4007</v>
          </cell>
          <cell r="E155" t="str">
            <v>Forge Valley School</v>
          </cell>
          <cell r="F155">
            <v>1122</v>
          </cell>
          <cell r="G155">
            <v>4455436.9057627292</v>
          </cell>
          <cell r="H155">
            <v>134304.41994037532</v>
          </cell>
          <cell r="I155">
            <v>0</v>
          </cell>
          <cell r="J155">
            <v>81565.4457316263</v>
          </cell>
          <cell r="K155">
            <v>365245.09341213095</v>
          </cell>
          <cell r="L155">
            <v>29811.897219402101</v>
          </cell>
          <cell r="M155">
            <v>5066363.7620662637</v>
          </cell>
          <cell r="N155">
            <v>130000</v>
          </cell>
          <cell r="O155">
            <v>0</v>
          </cell>
          <cell r="P155">
            <v>138743.55793373648</v>
          </cell>
          <cell r="Q155">
            <v>138743.55793373648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50492.68</v>
          </cell>
          <cell r="Y155">
            <v>5385600</v>
          </cell>
        </row>
        <row r="156">
          <cell r="D156">
            <v>4278</v>
          </cell>
          <cell r="E156" t="str">
            <v>Handsworth Grange Community Sports College</v>
          </cell>
          <cell r="F156">
            <v>1013</v>
          </cell>
          <cell r="G156">
            <v>4050221.0272144396</v>
          </cell>
          <cell r="H156">
            <v>180125.92792003255</v>
          </cell>
          <cell r="I156">
            <v>0</v>
          </cell>
          <cell r="J156">
            <v>200758.18148364258</v>
          </cell>
          <cell r="K156">
            <v>504666.19235162751</v>
          </cell>
          <cell r="L156">
            <v>19233.482077033543</v>
          </cell>
          <cell r="M156">
            <v>4955004.8110467745</v>
          </cell>
          <cell r="N156">
            <v>130000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24483.77</v>
          </cell>
          <cell r="Y156">
            <v>5109488.5810467741</v>
          </cell>
        </row>
        <row r="157">
          <cell r="D157">
            <v>4257</v>
          </cell>
          <cell r="E157" t="str">
            <v>High Storrs School</v>
          </cell>
          <cell r="F157">
            <v>1207</v>
          </cell>
          <cell r="G157">
            <v>4824006.7778152674</v>
          </cell>
          <cell r="H157">
            <v>49771.637977903592</v>
          </cell>
          <cell r="I157">
            <v>0</v>
          </cell>
          <cell r="J157">
            <v>26594.939128432165</v>
          </cell>
          <cell r="K157">
            <v>299070.71632882947</v>
          </cell>
          <cell r="L157">
            <v>7731.8277658549678</v>
          </cell>
          <cell r="M157">
            <v>5207175.8990162881</v>
          </cell>
          <cell r="N157">
            <v>130000</v>
          </cell>
          <cell r="O157">
            <v>0</v>
          </cell>
          <cell r="P157">
            <v>415778.84098371217</v>
          </cell>
          <cell r="Q157">
            <v>415778.84098371217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40645.26</v>
          </cell>
          <cell r="Y157">
            <v>5793600.0000000019</v>
          </cell>
        </row>
        <row r="158">
          <cell r="D158">
            <v>4230</v>
          </cell>
          <cell r="E158" t="str">
            <v>King Ecgbert School</v>
          </cell>
          <cell r="F158">
            <v>1003</v>
          </cell>
          <cell r="G158">
            <v>3999000.4208311746</v>
          </cell>
          <cell r="H158">
            <v>86112.833961770113</v>
          </cell>
          <cell r="I158">
            <v>0</v>
          </cell>
          <cell r="J158">
            <v>38225.141866553851</v>
          </cell>
          <cell r="K158">
            <v>270162.77846969408</v>
          </cell>
          <cell r="L158">
            <v>18381.768703211052</v>
          </cell>
          <cell r="M158">
            <v>4411882.943832404</v>
          </cell>
          <cell r="N158">
            <v>130000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564275.45665876567</v>
          </cell>
          <cell r="W158">
            <v>0</v>
          </cell>
          <cell r="X158">
            <v>45565.18</v>
          </cell>
          <cell r="Y158">
            <v>5151723.5804911694</v>
          </cell>
        </row>
        <row r="159">
          <cell r="D159">
            <v>4259</v>
          </cell>
          <cell r="E159" t="str">
            <v>King Edward VII School</v>
          </cell>
          <cell r="F159">
            <v>1143</v>
          </cell>
          <cell r="G159">
            <v>4567990.4532600231</v>
          </cell>
          <cell r="H159">
            <v>182496.00591897964</v>
          </cell>
          <cell r="I159">
            <v>0</v>
          </cell>
          <cell r="J159">
            <v>159872.16560982415</v>
          </cell>
          <cell r="K159">
            <v>404889.16338834865</v>
          </cell>
          <cell r="L159">
            <v>59676.004416421274</v>
          </cell>
          <cell r="M159">
            <v>5374923.7925935965</v>
          </cell>
          <cell r="N159">
            <v>130000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419021.17239571275</v>
          </cell>
          <cell r="W159">
            <v>334084.66610000003</v>
          </cell>
          <cell r="X159">
            <v>493319.60000000003</v>
          </cell>
          <cell r="Y159">
            <v>6751349.2310893089</v>
          </cell>
        </row>
        <row r="160">
          <cell r="D160">
            <v>4279</v>
          </cell>
          <cell r="E160" t="str">
            <v>Meadowhead School Academy Trust</v>
          </cell>
          <cell r="F160">
            <v>1601</v>
          </cell>
          <cell r="G160">
            <v>6392813.0244128872</v>
          </cell>
          <cell r="H160">
            <v>215677.09790424892</v>
          </cell>
          <cell r="I160">
            <v>0</v>
          </cell>
          <cell r="J160">
            <v>210563.60062235739</v>
          </cell>
          <cell r="K160">
            <v>653154.74905691249</v>
          </cell>
          <cell r="L160">
            <v>19245.503003331731</v>
          </cell>
          <cell r="M160">
            <v>7491453.9749997379</v>
          </cell>
          <cell r="N160">
            <v>130000</v>
          </cell>
          <cell r="O160">
            <v>0</v>
          </cell>
          <cell r="P160">
            <v>0</v>
          </cell>
          <cell r="Q160">
            <v>0</v>
          </cell>
          <cell r="R160">
            <v>-38248.603587855905</v>
          </cell>
          <cell r="S160">
            <v>-38248.603587855905</v>
          </cell>
          <cell r="T160">
            <v>0</v>
          </cell>
          <cell r="U160">
            <v>0</v>
          </cell>
          <cell r="V160">
            <v>655416.74146858277</v>
          </cell>
          <cell r="W160">
            <v>0</v>
          </cell>
          <cell r="X160">
            <v>69714.61</v>
          </cell>
          <cell r="Y160">
            <v>8308336.7228804622</v>
          </cell>
        </row>
        <row r="161">
          <cell r="D161">
            <v>4015</v>
          </cell>
          <cell r="E161" t="str">
            <v>Mercia Academy</v>
          </cell>
          <cell r="F161">
            <v>211.5</v>
          </cell>
          <cell r="G161">
            <v>776896.89807201631</v>
          </cell>
          <cell r="H161">
            <v>21560.064377525057</v>
          </cell>
          <cell r="I161">
            <v>0</v>
          </cell>
          <cell r="J161">
            <v>15675.390838018269</v>
          </cell>
          <cell r="K161">
            <v>49777.146843661991</v>
          </cell>
          <cell r="L161">
            <v>1640.274781972824</v>
          </cell>
          <cell r="M161">
            <v>865549.77491319447</v>
          </cell>
          <cell r="N161">
            <v>130000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-7758.08</v>
          </cell>
          <cell r="Y161">
            <v>987791.6949131944</v>
          </cell>
        </row>
        <row r="162">
          <cell r="D162">
            <v>4008</v>
          </cell>
          <cell r="E162" t="str">
            <v>Newfield Secondary School</v>
          </cell>
          <cell r="F162">
            <v>1036</v>
          </cell>
          <cell r="G162">
            <v>4128267.2057400742</v>
          </cell>
          <cell r="H162">
            <v>225157.40990004019</v>
          </cell>
          <cell r="I162">
            <v>0</v>
          </cell>
          <cell r="J162">
            <v>206334.43599031316</v>
          </cell>
          <cell r="K162">
            <v>455092.43677503912</v>
          </cell>
          <cell r="L162">
            <v>42313.660569473905</v>
          </cell>
          <cell r="M162">
            <v>5057165.1489749402</v>
          </cell>
          <cell r="N162">
            <v>130000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522739.26489618584</v>
          </cell>
          <cell r="W162">
            <v>0</v>
          </cell>
          <cell r="X162">
            <v>35242.120000000003</v>
          </cell>
          <cell r="Y162">
            <v>5745146.5338711254</v>
          </cell>
        </row>
        <row r="163">
          <cell r="D163">
            <v>5400</v>
          </cell>
          <cell r="E163" t="str">
            <v>Notre Dame High School</v>
          </cell>
          <cell r="F163">
            <v>1071</v>
          </cell>
          <cell r="G163">
            <v>4268904.9480110165</v>
          </cell>
          <cell r="H163">
            <v>58461.923974045509</v>
          </cell>
          <cell r="I163">
            <v>0</v>
          </cell>
          <cell r="J163">
            <v>113178.84544788525</v>
          </cell>
          <cell r="K163">
            <v>250645.55212925884</v>
          </cell>
          <cell r="L163">
            <v>3846.6964154067173</v>
          </cell>
          <cell r="M163">
            <v>4695037.965977612</v>
          </cell>
          <cell r="N163">
            <v>130000</v>
          </cell>
          <cell r="O163">
            <v>0</v>
          </cell>
          <cell r="P163">
            <v>291728.47402238881</v>
          </cell>
          <cell r="Q163">
            <v>291728.47402238881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24033.56</v>
          </cell>
          <cell r="Y163">
            <v>5140800.0000000009</v>
          </cell>
        </row>
        <row r="164">
          <cell r="D164">
            <v>4006</v>
          </cell>
          <cell r="E164" t="str">
            <v>Outwood Academy City</v>
          </cell>
          <cell r="F164">
            <v>1045</v>
          </cell>
          <cell r="G164">
            <v>4125911.7998132785</v>
          </cell>
          <cell r="H164">
            <v>194346.39591371873</v>
          </cell>
          <cell r="I164">
            <v>0</v>
          </cell>
          <cell r="J164">
            <v>228781.54057577872</v>
          </cell>
          <cell r="K164">
            <v>401614.66073444264</v>
          </cell>
          <cell r="L164">
            <v>15401.523962069046</v>
          </cell>
          <cell r="M164">
            <v>4966055.9209992886</v>
          </cell>
          <cell r="N164">
            <v>130000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42643.002999999997</v>
          </cell>
          <cell r="Y164">
            <v>5138698.9239992891</v>
          </cell>
        </row>
        <row r="165">
          <cell r="D165">
            <v>6907</v>
          </cell>
          <cell r="E165" t="str">
            <v>Parkwood E-Act Academy</v>
          </cell>
          <cell r="F165">
            <v>859</v>
          </cell>
          <cell r="G165">
            <v>3423366.132040943</v>
          </cell>
          <cell r="H165">
            <v>264658.70988250349</v>
          </cell>
          <cell r="I165">
            <v>0</v>
          </cell>
          <cell r="J165">
            <v>282378.06927803194</v>
          </cell>
          <cell r="K165">
            <v>498504.87762128271</v>
          </cell>
          <cell r="L165">
            <v>73343.378733473175</v>
          </cell>
          <cell r="M165">
            <v>4542251.1675562337</v>
          </cell>
          <cell r="N165">
            <v>130000</v>
          </cell>
          <cell r="O165">
            <v>5614.5181747504412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73772.162240978621</v>
          </cell>
          <cell r="U165">
            <v>73772.162240978621</v>
          </cell>
          <cell r="V165">
            <v>0</v>
          </cell>
          <cell r="W165">
            <v>0</v>
          </cell>
          <cell r="X165">
            <v>34527.31</v>
          </cell>
          <cell r="Y165">
            <v>4786165.1579719633</v>
          </cell>
        </row>
        <row r="166">
          <cell r="D166">
            <v>6905</v>
          </cell>
          <cell r="E166" t="str">
            <v>Sheffield Park Academy</v>
          </cell>
          <cell r="F166">
            <v>974</v>
          </cell>
          <cell r="G166">
            <v>3858670.4680846836</v>
          </cell>
          <cell r="H166">
            <v>287569.4638723323</v>
          </cell>
          <cell r="I166">
            <v>0</v>
          </cell>
          <cell r="J166">
            <v>326143.18611261959</v>
          </cell>
          <cell r="K166">
            <v>522401.99726969743</v>
          </cell>
          <cell r="L166">
            <v>46097.923692274548</v>
          </cell>
          <cell r="M166">
            <v>5040883.039031608</v>
          </cell>
          <cell r="N166">
            <v>130000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49513.26</v>
          </cell>
          <cell r="Y166">
            <v>5220396.2990316078</v>
          </cell>
        </row>
        <row r="167">
          <cell r="D167">
            <v>6906</v>
          </cell>
          <cell r="E167" t="str">
            <v>Sheffield Springs Academy</v>
          </cell>
          <cell r="F167">
            <v>686</v>
          </cell>
          <cell r="G167">
            <v>2721084.900112519</v>
          </cell>
          <cell r="H167">
            <v>237797.82589442874</v>
          </cell>
          <cell r="I167">
            <v>0</v>
          </cell>
          <cell r="J167">
            <v>230988.8510663553</v>
          </cell>
          <cell r="K167">
            <v>385023.41315857979</v>
          </cell>
          <cell r="L167">
            <v>35553.149204672271</v>
          </cell>
          <cell r="M167">
            <v>3610448.1394365551</v>
          </cell>
          <cell r="N167">
            <v>130000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47625.919999999998</v>
          </cell>
          <cell r="Y167">
            <v>3788074.059436555</v>
          </cell>
        </row>
        <row r="168">
          <cell r="D168">
            <v>4229</v>
          </cell>
          <cell r="E168" t="str">
            <v>Silverdale School</v>
          </cell>
          <cell r="F168">
            <v>1023</v>
          </cell>
          <cell r="G168">
            <v>4050734.0097551919</v>
          </cell>
          <cell r="H168">
            <v>83742.755962822281</v>
          </cell>
          <cell r="I168">
            <v>0</v>
          </cell>
          <cell r="J168">
            <v>61566.877431874993</v>
          </cell>
          <cell r="K168">
            <v>274553.39608799381</v>
          </cell>
          <cell r="L168">
            <v>8988.9679940735114</v>
          </cell>
          <cell r="M168">
            <v>4479586.0072319563</v>
          </cell>
          <cell r="N168">
            <v>130000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784108.89734427864</v>
          </cell>
          <cell r="W168">
            <v>0</v>
          </cell>
          <cell r="X168">
            <v>42669.99</v>
          </cell>
          <cell r="Y168">
            <v>5436364.8945762347</v>
          </cell>
        </row>
        <row r="169">
          <cell r="D169">
            <v>4271</v>
          </cell>
          <cell r="E169" t="str">
            <v>Stocksbridge High School</v>
          </cell>
          <cell r="F169">
            <v>805</v>
          </cell>
          <cell r="G169">
            <v>3221789.9455415048</v>
          </cell>
          <cell r="H169">
            <v>95593.145957560831</v>
          </cell>
          <cell r="I169">
            <v>0</v>
          </cell>
          <cell r="J169">
            <v>44731.548992775774</v>
          </cell>
          <cell r="K169">
            <v>208618.34655001303</v>
          </cell>
          <cell r="L169">
            <v>961.67410385167864</v>
          </cell>
          <cell r="M169">
            <v>3571694.6611457062</v>
          </cell>
          <cell r="N169">
            <v>130000</v>
          </cell>
          <cell r="O169">
            <v>0</v>
          </cell>
          <cell r="P169">
            <v>138994.33885429351</v>
          </cell>
          <cell r="Q169">
            <v>138994.33885429351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23311</v>
          </cell>
          <cell r="Y169">
            <v>3863999.9999999995</v>
          </cell>
        </row>
        <row r="170">
          <cell r="D170">
            <v>4234</v>
          </cell>
          <cell r="E170" t="str">
            <v>Tapton School</v>
          </cell>
          <cell r="F170">
            <v>1268</v>
          </cell>
          <cell r="G170">
            <v>5047271.4494238133</v>
          </cell>
          <cell r="H170">
            <v>109023.58795159854</v>
          </cell>
          <cell r="I170">
            <v>0</v>
          </cell>
          <cell r="J170">
            <v>76612.943911263268</v>
          </cell>
          <cell r="K170">
            <v>345595.91681590193</v>
          </cell>
          <cell r="L170">
            <v>30846.552124810813</v>
          </cell>
          <cell r="M170">
            <v>5609350.4502273882</v>
          </cell>
          <cell r="N170">
            <v>130000</v>
          </cell>
          <cell r="O170">
            <v>0</v>
          </cell>
          <cell r="P170">
            <v>0</v>
          </cell>
          <cell r="Q170">
            <v>0</v>
          </cell>
          <cell r="R170">
            <v>-12494.318708535566</v>
          </cell>
          <cell r="S170">
            <v>-12494.318708535566</v>
          </cell>
          <cell r="T170">
            <v>0</v>
          </cell>
          <cell r="U170">
            <v>0</v>
          </cell>
          <cell r="V170">
            <v>464845.88503741362</v>
          </cell>
          <cell r="W170">
            <v>0</v>
          </cell>
          <cell r="X170">
            <v>46170.15</v>
          </cell>
          <cell r="Y170">
            <v>6237872.1665562661</v>
          </cell>
        </row>
        <row r="171">
          <cell r="D171">
            <v>4004</v>
          </cell>
          <cell r="E171" t="str">
            <v>UTC Sheffield</v>
          </cell>
          <cell r="F171">
            <v>302</v>
          </cell>
          <cell r="G171">
            <v>1279963.1371209999</v>
          </cell>
          <cell r="H171">
            <v>26860.883988075064</v>
          </cell>
          <cell r="I171">
            <v>0</v>
          </cell>
          <cell r="J171">
            <v>50018.004782831093</v>
          </cell>
          <cell r="K171">
            <v>97901.071300061245</v>
          </cell>
          <cell r="L171">
            <v>2963.5263200327367</v>
          </cell>
          <cell r="M171">
            <v>1457706.6235119998</v>
          </cell>
          <cell r="N171">
            <v>130000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49389.601804017911</v>
          </cell>
          <cell r="U171">
            <v>49389.601804017911</v>
          </cell>
          <cell r="V171">
            <v>0</v>
          </cell>
          <cell r="W171">
            <v>0</v>
          </cell>
          <cell r="X171">
            <v>25977.5</v>
          </cell>
          <cell r="Y171">
            <v>1663073.7253160179</v>
          </cell>
        </row>
        <row r="172">
          <cell r="D172">
            <v>4010</v>
          </cell>
          <cell r="E172" t="str">
            <v>UTC Sheffield Olympic Legacy Park</v>
          </cell>
          <cell r="F172">
            <v>306</v>
          </cell>
          <cell r="G172">
            <v>1292241.5739093276</v>
          </cell>
          <cell r="H172">
            <v>33971.117984918244</v>
          </cell>
          <cell r="I172">
            <v>0</v>
          </cell>
          <cell r="J172">
            <v>46183.7577308662</v>
          </cell>
          <cell r="K172">
            <v>71660.551472709543</v>
          </cell>
          <cell r="L172">
            <v>4808.3705192584102</v>
          </cell>
          <cell r="M172">
            <v>1448865.3716170799</v>
          </cell>
          <cell r="N172">
            <v>130000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34729.942119492174</v>
          </cell>
          <cell r="U172">
            <v>34729.942119492174</v>
          </cell>
          <cell r="V172">
            <v>0</v>
          </cell>
          <cell r="W172">
            <v>0</v>
          </cell>
          <cell r="X172">
            <v>28957.5</v>
          </cell>
          <cell r="Y172">
            <v>1642552.8137365722</v>
          </cell>
        </row>
        <row r="173">
          <cell r="D173">
            <v>4252</v>
          </cell>
          <cell r="E173" t="str">
            <v>Westfield School</v>
          </cell>
          <cell r="F173">
            <v>1132</v>
          </cell>
          <cell r="G173">
            <v>4542877.2434620745</v>
          </cell>
          <cell r="H173">
            <v>127984.21194318043</v>
          </cell>
          <cell r="I173">
            <v>0</v>
          </cell>
          <cell r="J173">
            <v>98002.75733871774</v>
          </cell>
          <cell r="K173">
            <v>438593.58669322915</v>
          </cell>
          <cell r="L173">
            <v>0</v>
          </cell>
          <cell r="M173">
            <v>5207457.7994372016</v>
          </cell>
          <cell r="N173">
            <v>130000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463417.70852119656</v>
          </cell>
          <cell r="W173">
            <v>0</v>
          </cell>
          <cell r="X173">
            <v>54879</v>
          </cell>
          <cell r="Y173">
            <v>5855754.5079583982</v>
          </cell>
        </row>
        <row r="174">
          <cell r="D174">
            <v>4016</v>
          </cell>
          <cell r="E174" t="str">
            <v>Yewlands Academy</v>
          </cell>
          <cell r="F174">
            <v>870</v>
          </cell>
          <cell r="G174">
            <v>3466991.6489559999</v>
          </cell>
          <cell r="H174">
            <v>151684.99193265886</v>
          </cell>
          <cell r="I174">
            <v>0</v>
          </cell>
          <cell r="J174">
            <v>212271.53249299049</v>
          </cell>
          <cell r="K174">
            <v>324160.52745977556</v>
          </cell>
          <cell r="L174">
            <v>3851.1229935602369</v>
          </cell>
          <cell r="M174">
            <v>4158959.823834985</v>
          </cell>
          <cell r="N174">
            <v>130000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28605.07</v>
          </cell>
          <cell r="Y174">
            <v>4317564.8938349858</v>
          </cell>
        </row>
        <row r="175">
          <cell r="D175">
            <v>0</v>
          </cell>
          <cell r="E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D176">
            <v>0</v>
          </cell>
          <cell r="E176" t="str">
            <v>Total Secondary</v>
          </cell>
          <cell r="F176">
            <v>26553.5</v>
          </cell>
          <cell r="G176">
            <v>105846213.22073203</v>
          </cell>
          <cell r="H176">
            <v>4236348.7725063488</v>
          </cell>
          <cell r="I176">
            <v>0</v>
          </cell>
          <cell r="J176">
            <v>4281850.7992609972</v>
          </cell>
          <cell r="K176">
            <v>10442011.207635527</v>
          </cell>
          <cell r="L176">
            <v>655784.8123462341</v>
          </cell>
          <cell r="M176">
            <v>125462208.81248111</v>
          </cell>
          <cell r="N176">
            <v>3510000</v>
          </cell>
          <cell r="O176">
            <v>10552.108626304253</v>
          </cell>
          <cell r="P176">
            <v>985245.21179413097</v>
          </cell>
          <cell r="Q176">
            <v>985245.21179413097</v>
          </cell>
          <cell r="R176">
            <v>-209918.3126649168</v>
          </cell>
          <cell r="S176">
            <v>-209918.3126649168</v>
          </cell>
          <cell r="T176">
            <v>159567.8570682432</v>
          </cell>
          <cell r="U176">
            <v>159567.8570682432</v>
          </cell>
          <cell r="V176">
            <v>5323812.4446910592</v>
          </cell>
          <cell r="W176">
            <v>334084.66610000003</v>
          </cell>
          <cell r="X176">
            <v>1435033.443</v>
          </cell>
          <cell r="Y176">
            <v>137010586.23109597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5</v>
          </cell>
          <cell r="T177">
            <v>0</v>
          </cell>
          <cell r="U177">
            <v>4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</row>
        <row r="178">
          <cell r="D178">
            <v>0</v>
          </cell>
          <cell r="E178" t="str">
            <v>Middle Deemed Secondary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-7497.0825951755996</v>
          </cell>
          <cell r="T178">
            <v>0</v>
          </cell>
          <cell r="U178">
            <v>5698.8520381515427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D180">
            <v>4014</v>
          </cell>
          <cell r="E180" t="str">
            <v>Astrea Academy - Woodside x 7/12</v>
          </cell>
          <cell r="F180">
            <v>266.5</v>
          </cell>
          <cell r="G180">
            <v>937116.59489601711</v>
          </cell>
          <cell r="H180">
            <v>65596.395035006644</v>
          </cell>
          <cell r="I180">
            <v>0</v>
          </cell>
          <cell r="J180">
            <v>87248.840365669021</v>
          </cell>
          <cell r="K180">
            <v>56573.176879382743</v>
          </cell>
          <cell r="L180">
            <v>10244.274140182708</v>
          </cell>
          <cell r="M180">
            <v>1156779.2813162582</v>
          </cell>
          <cell r="N180">
            <v>130000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49757.015133198198</v>
          </cell>
          <cell r="U180">
            <v>49757.015133198198</v>
          </cell>
          <cell r="V180">
            <v>0</v>
          </cell>
          <cell r="W180">
            <v>0</v>
          </cell>
          <cell r="X180">
            <v>10000</v>
          </cell>
          <cell r="Y180">
            <v>1346536.2964494568</v>
          </cell>
        </row>
        <row r="181">
          <cell r="D181">
            <v>4225</v>
          </cell>
          <cell r="E181" t="str">
            <v>Hinde House 3-16 School</v>
          </cell>
          <cell r="F181">
            <v>1264</v>
          </cell>
          <cell r="G181">
            <v>4607275.5638785586</v>
          </cell>
          <cell r="H181">
            <v>281762.44340431638</v>
          </cell>
          <cell r="I181">
            <v>0</v>
          </cell>
          <cell r="J181">
            <v>346964.97973087803</v>
          </cell>
          <cell r="K181">
            <v>714191.29705641163</v>
          </cell>
          <cell r="L181">
            <v>82858.679522056424</v>
          </cell>
          <cell r="M181">
            <v>6033052.9635922201</v>
          </cell>
          <cell r="N181">
            <v>130000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646150.61350041162</v>
          </cell>
          <cell r="W181">
            <v>167182.22948000004</v>
          </cell>
          <cell r="X181">
            <v>43948.6</v>
          </cell>
          <cell r="Y181">
            <v>7020334.4065726325</v>
          </cell>
        </row>
        <row r="182">
          <cell r="D182">
            <v>4005</v>
          </cell>
          <cell r="E182" t="str">
            <v>Oasis Academy Don Valley</v>
          </cell>
          <cell r="F182">
            <v>519.75</v>
          </cell>
          <cell r="G182">
            <v>1678676.4064744813</v>
          </cell>
          <cell r="H182">
            <v>110726.10562725249</v>
          </cell>
          <cell r="I182">
            <v>0</v>
          </cell>
          <cell r="J182">
            <v>161023.98850465522</v>
          </cell>
          <cell r="K182">
            <v>175696.80746025059</v>
          </cell>
          <cell r="L182">
            <v>61217.663915297293</v>
          </cell>
          <cell r="M182">
            <v>2187340.9719819371</v>
          </cell>
          <cell r="N182">
            <v>130000</v>
          </cell>
          <cell r="O182">
            <v>11743.46360232925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50000</v>
          </cell>
          <cell r="X182">
            <v>34352.699999999997</v>
          </cell>
          <cell r="Y182">
            <v>2413437.1355842669</v>
          </cell>
        </row>
        <row r="183">
          <cell r="D183">
            <v>0</v>
          </cell>
          <cell r="E183">
            <v>0</v>
          </cell>
          <cell r="H183">
            <v>0</v>
          </cell>
          <cell r="I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D184">
            <v>0</v>
          </cell>
          <cell r="E184" t="str">
            <v>Total Middle Deemed Secondary</v>
          </cell>
          <cell r="F184">
            <v>2050.25</v>
          </cell>
          <cell r="G184">
            <v>7223068.5652490566</v>
          </cell>
          <cell r="H184">
            <v>458084.9440665755</v>
          </cell>
          <cell r="I184">
            <v>0</v>
          </cell>
          <cell r="J184">
            <v>595237.80860120221</v>
          </cell>
          <cell r="K184">
            <v>946461.28139604488</v>
          </cell>
          <cell r="L184">
            <v>154320.61757753644</v>
          </cell>
          <cell r="M184">
            <v>9377173.2168904152</v>
          </cell>
          <cell r="N184">
            <v>390000</v>
          </cell>
          <cell r="O184">
            <v>11743.46360232925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49757.015133198198</v>
          </cell>
          <cell r="U184">
            <v>49757.015133198198</v>
          </cell>
          <cell r="V184">
            <v>646150.61350041162</v>
          </cell>
          <cell r="W184">
            <v>217182.22948000004</v>
          </cell>
          <cell r="X184">
            <v>88301.299999999988</v>
          </cell>
          <cell r="Y184">
            <v>10780307.838606356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D186">
            <v>0</v>
          </cell>
          <cell r="E186" t="str">
            <v>Total All Schools</v>
          </cell>
          <cell r="F186">
            <v>72330.75</v>
          </cell>
          <cell r="G186">
            <v>241616105.62434304</v>
          </cell>
          <cell r="H186">
            <v>10655103.20235125</v>
          </cell>
          <cell r="I186">
            <v>0</v>
          </cell>
          <cell r="J186">
            <v>10790586.285938025</v>
          </cell>
          <cell r="K186">
            <v>28263420.492599271</v>
          </cell>
          <cell r="L186">
            <v>2822898.067388623</v>
          </cell>
          <cell r="M186">
            <v>294148113.67262018</v>
          </cell>
          <cell r="N186">
            <v>21281000</v>
          </cell>
          <cell r="O186">
            <v>202050.48775377372</v>
          </cell>
          <cell r="P186">
            <v>1016377.3684380174</v>
          </cell>
          <cell r="Q186">
            <v>1016377.3684380174</v>
          </cell>
          <cell r="R186">
            <v>-647544.08457270043</v>
          </cell>
          <cell r="S186">
            <v>-647544.08457270043</v>
          </cell>
          <cell r="T186">
            <v>1689505.5593533856</v>
          </cell>
          <cell r="U186">
            <v>1689505.5593533856</v>
          </cell>
          <cell r="V186">
            <v>6424988.2133653313</v>
          </cell>
          <cell r="W186">
            <v>670370.98479052633</v>
          </cell>
          <cell r="X186">
            <v>3599251.0010000002</v>
          </cell>
          <cell r="Y186">
            <v>328384113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-29009.000425307313</v>
          </cell>
          <cell r="T187">
            <v>0</v>
          </cell>
          <cell r="U187">
            <v>1041961.4747806852</v>
          </cell>
          <cell r="V187" t="str">
            <v>MFG Ok</v>
          </cell>
          <cell r="W187">
            <v>0</v>
          </cell>
          <cell r="X187">
            <v>0</v>
          </cell>
          <cell r="Y187">
            <v>0.20274853706359863</v>
          </cell>
        </row>
        <row r="188">
          <cell r="G188">
            <v>0.73577282231172692</v>
          </cell>
          <cell r="H188">
            <v>0</v>
          </cell>
          <cell r="I188">
            <v>0</v>
          </cell>
          <cell r="M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2.8894282877445221E-6</v>
          </cell>
          <cell r="V188">
            <v>0</v>
          </cell>
          <cell r="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M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 t="str">
            <v>PFI Ok</v>
          </cell>
          <cell r="Y189">
            <v>0</v>
          </cell>
        </row>
        <row r="190">
          <cell r="D190">
            <v>4014</v>
          </cell>
          <cell r="E190" t="str">
            <v>Astrea 3-16 Academy - Pri</v>
          </cell>
          <cell r="F190">
            <v>57</v>
          </cell>
          <cell r="G190">
            <v>167566.23959536734</v>
          </cell>
          <cell r="H190">
            <v>3190.8166856627008</v>
          </cell>
          <cell r="I190">
            <v>0</v>
          </cell>
          <cell r="J190">
            <v>14625.070659663063</v>
          </cell>
          <cell r="K190">
            <v>0</v>
          </cell>
          <cell r="L190">
            <v>0</v>
          </cell>
          <cell r="M190">
            <v>185382.1269406931</v>
          </cell>
          <cell r="N190">
            <v>27804.878048780487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10642.213368076162</v>
          </cell>
          <cell r="V190">
            <v>0</v>
          </cell>
          <cell r="W190">
            <v>0</v>
          </cell>
          <cell r="X190">
            <v>2138.8367729831143</v>
          </cell>
          <cell r="Y190">
            <v>225968.05513053291</v>
          </cell>
        </row>
        <row r="191">
          <cell r="D191">
            <v>4014</v>
          </cell>
          <cell r="E191" t="str">
            <v>Astrea 3-16 Academy - Sec</v>
          </cell>
          <cell r="F191">
            <v>209.5</v>
          </cell>
          <cell r="G191">
            <v>769550.35530064977</v>
          </cell>
          <cell r="H191">
            <v>62405.578349343945</v>
          </cell>
          <cell r="I191">
            <v>0</v>
          </cell>
          <cell r="J191">
            <v>72623.769706005958</v>
          </cell>
          <cell r="K191">
            <v>56573.176879382743</v>
          </cell>
          <cell r="L191">
            <v>10244.274140182708</v>
          </cell>
          <cell r="M191">
            <v>971397.15437556501</v>
          </cell>
          <cell r="N191">
            <v>102195.12195121951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39114.801765122036</v>
          </cell>
          <cell r="V191">
            <v>0</v>
          </cell>
          <cell r="W191">
            <v>0</v>
          </cell>
          <cell r="X191">
            <v>7861.1632270168848</v>
          </cell>
          <cell r="Y191">
            <v>1120568.2413189234</v>
          </cell>
        </row>
        <row r="192">
          <cell r="F192">
            <v>266.5</v>
          </cell>
          <cell r="G192">
            <v>937116.59489601711</v>
          </cell>
          <cell r="H192">
            <v>65596.395035006644</v>
          </cell>
          <cell r="I192">
            <v>0</v>
          </cell>
          <cell r="J192">
            <v>87248.840365669021</v>
          </cell>
          <cell r="K192">
            <v>56573.176879382743</v>
          </cell>
          <cell r="L192">
            <v>10244.274140182708</v>
          </cell>
          <cell r="M192">
            <v>1156779.281316258</v>
          </cell>
          <cell r="N192">
            <v>130000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49757.015133198198</v>
          </cell>
          <cell r="V192">
            <v>0</v>
          </cell>
          <cell r="W192">
            <v>0</v>
          </cell>
          <cell r="X192">
            <v>10000</v>
          </cell>
          <cell r="Y192">
            <v>1346536.2964494564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D194">
            <v>4225</v>
          </cell>
          <cell r="E194" t="str">
            <v>Hinde House 3-16 - Pri</v>
          </cell>
          <cell r="F194">
            <v>424</v>
          </cell>
          <cell r="G194">
            <v>1246457.6419023818</v>
          </cell>
          <cell r="H194">
            <v>76355.683495507386</v>
          </cell>
          <cell r="I194">
            <v>0</v>
          </cell>
          <cell r="J194">
            <v>120379.35156019933</v>
          </cell>
          <cell r="K194">
            <v>178373.50386677179</v>
          </cell>
          <cell r="L194">
            <v>28747.256262268125</v>
          </cell>
          <cell r="M194">
            <v>1650313.4370871284</v>
          </cell>
          <cell r="N194">
            <v>43607.594936708861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173576.95089486515</v>
          </cell>
          <cell r="W194">
            <v>56080.114952151911</v>
          </cell>
          <cell r="X194">
            <v>8164.8</v>
          </cell>
          <cell r="Y194">
            <v>1931742.8978708545</v>
          </cell>
        </row>
        <row r="195">
          <cell r="D195">
            <v>4225</v>
          </cell>
          <cell r="E195" t="str">
            <v>Hinde House 3-16 Sec</v>
          </cell>
          <cell r="F195">
            <v>840</v>
          </cell>
          <cell r="G195">
            <v>3360817.921976177</v>
          </cell>
          <cell r="H195">
            <v>205406.75990880898</v>
          </cell>
          <cell r="I195">
            <v>0</v>
          </cell>
          <cell r="J195">
            <v>226585.62817067868</v>
          </cell>
          <cell r="K195">
            <v>535817.79318963981</v>
          </cell>
          <cell r="L195">
            <v>54111.423259788295</v>
          </cell>
          <cell r="M195">
            <v>4382739.5265050931</v>
          </cell>
          <cell r="N195">
            <v>86392.405063291139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472573.66260554653</v>
          </cell>
          <cell r="W195">
            <v>111102.11452784813</v>
          </cell>
          <cell r="X195">
            <v>35784</v>
          </cell>
          <cell r="Y195">
            <v>5088591.7087017791</v>
          </cell>
        </row>
        <row r="196">
          <cell r="F196">
            <v>1264</v>
          </cell>
          <cell r="G196">
            <v>4607275.5638785586</v>
          </cell>
          <cell r="H196">
            <v>281762.44340431638</v>
          </cell>
          <cell r="I196">
            <v>0</v>
          </cell>
          <cell r="J196">
            <v>346964.97973087803</v>
          </cell>
          <cell r="K196">
            <v>714191.29705641163</v>
          </cell>
          <cell r="L196">
            <v>82858.679522056424</v>
          </cell>
          <cell r="M196">
            <v>6033052.9635922201</v>
          </cell>
          <cell r="N196">
            <v>130000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646150.61350041162</v>
          </cell>
          <cell r="W196">
            <v>167182.22948000004</v>
          </cell>
          <cell r="X196">
            <v>43948.800000000003</v>
          </cell>
          <cell r="Y196">
            <v>7020334.6065726336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0.20000000000436557</v>
          </cell>
          <cell r="Y197">
            <v>0.20000000111758709</v>
          </cell>
        </row>
        <row r="198">
          <cell r="D198">
            <v>4005</v>
          </cell>
          <cell r="E198" t="str">
            <v>Oasis Academy Don Valley</v>
          </cell>
          <cell r="F198">
            <v>314.25</v>
          </cell>
          <cell r="G198">
            <v>923819.13671656477</v>
          </cell>
          <cell r="H198">
            <v>57067.941439209921</v>
          </cell>
          <cell r="I198">
            <v>0</v>
          </cell>
          <cell r="J198">
            <v>87088.734390571233</v>
          </cell>
          <cell r="K198">
            <v>100637.52682719532</v>
          </cell>
          <cell r="L198">
            <v>37770.745298506808</v>
          </cell>
          <cell r="M198">
            <v>1206384.0846720482</v>
          </cell>
          <cell r="N198">
            <v>78600.288600288593</v>
          </cell>
          <cell r="O198">
            <v>11743.46360232925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16772.151898734177</v>
          </cell>
          <cell r="X198">
            <v>20770.247186147186</v>
          </cell>
          <cell r="Y198">
            <v>1334270.2359595476</v>
          </cell>
        </row>
        <row r="199">
          <cell r="D199">
            <v>4005</v>
          </cell>
          <cell r="E199" t="str">
            <v>Oasis Academy Don Valley</v>
          </cell>
          <cell r="F199">
            <v>205.5</v>
          </cell>
          <cell r="G199">
            <v>754857.26975791657</v>
          </cell>
          <cell r="H199">
            <v>53658.164188042574</v>
          </cell>
          <cell r="I199">
            <v>0</v>
          </cell>
          <cell r="J199">
            <v>73935.254114083989</v>
          </cell>
          <cell r="K199">
            <v>75059.28063305527</v>
          </cell>
          <cell r="L199">
            <v>23446.918616790481</v>
          </cell>
          <cell r="M199">
            <v>980956.88730988884</v>
          </cell>
          <cell r="N199">
            <v>51399.711399711399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33227.848101265823</v>
          </cell>
          <cell r="X199">
            <v>13582.452813852813</v>
          </cell>
          <cell r="Y199">
            <v>1079166.8996247188</v>
          </cell>
        </row>
        <row r="200">
          <cell r="F200">
            <v>519.75</v>
          </cell>
          <cell r="G200">
            <v>1678676.4064744813</v>
          </cell>
          <cell r="H200">
            <v>110726.10562725249</v>
          </cell>
          <cell r="I200">
            <v>0</v>
          </cell>
          <cell r="J200">
            <v>161023.98850465522</v>
          </cell>
          <cell r="K200">
            <v>175696.80746025059</v>
          </cell>
          <cell r="L200">
            <v>61217.663915297293</v>
          </cell>
          <cell r="M200">
            <v>2187340.9719819371</v>
          </cell>
          <cell r="N200">
            <v>130000</v>
          </cell>
          <cell r="O200">
            <v>11743.46360232925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50000</v>
          </cell>
          <cell r="X200">
            <v>34352.699999999997</v>
          </cell>
          <cell r="Y200">
            <v>2413437.1355842669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3">
          <cell r="F203" t="str">
            <v>AWPU Fund</v>
          </cell>
          <cell r="I203">
            <v>0</v>
          </cell>
          <cell r="J203">
            <v>0</v>
          </cell>
          <cell r="K203" t="str">
            <v>2018-19</v>
          </cell>
          <cell r="L203" t="str">
            <v>NOR</v>
          </cell>
          <cell r="R203" t="str">
            <v>Min</v>
          </cell>
          <cell r="S203">
            <v>-1149.3881810853443</v>
          </cell>
          <cell r="U203">
            <v>1506.7796089402857</v>
          </cell>
          <cell r="X203" t="str">
            <v>Pri</v>
          </cell>
          <cell r="Y203">
            <v>180593219.13304612</v>
          </cell>
        </row>
        <row r="204">
          <cell r="F204">
            <v>130884666.85657622</v>
          </cell>
          <cell r="G204">
            <v>130884666.85657625</v>
          </cell>
          <cell r="H204">
            <v>0</v>
          </cell>
          <cell r="I204">
            <v>6.5761685875331821E-3</v>
          </cell>
          <cell r="J204">
            <v>0.61553696042139749</v>
          </cell>
          <cell r="K204" t="str">
            <v>Primary</v>
          </cell>
          <cell r="L204">
            <v>44522.25</v>
          </cell>
          <cell r="R204" t="str">
            <v>Max</v>
          </cell>
          <cell r="S204">
            <v>-58353.854434887289</v>
          </cell>
          <cell r="T204" t="e">
            <v>#REF!</v>
          </cell>
          <cell r="U204">
            <v>179596.97051396145</v>
          </cell>
          <cell r="X204" t="str">
            <v>Pri 3-16</v>
          </cell>
          <cell r="Y204">
            <v>3491981.188960935</v>
          </cell>
        </row>
        <row r="205">
          <cell r="F205">
            <v>110731438.76776677</v>
          </cell>
          <cell r="G205">
            <v>110731438.76776677</v>
          </cell>
          <cell r="H205">
            <v>0</v>
          </cell>
          <cell r="I205">
            <v>-6.5761685875330711E-3</v>
          </cell>
          <cell r="J205">
            <v>0.38446303957860245</v>
          </cell>
          <cell r="K205" t="str">
            <v>Secondary</v>
          </cell>
          <cell r="L205">
            <v>27808.5</v>
          </cell>
          <cell r="R205" t="str">
            <v>Min</v>
          </cell>
          <cell r="S205">
            <v>-4440.6027176529242</v>
          </cell>
          <cell r="U205">
            <v>1676.1509037544895</v>
          </cell>
          <cell r="Y205">
            <v>184085200.32200706</v>
          </cell>
        </row>
        <row r="206">
          <cell r="F206">
            <v>241616105.62434298</v>
          </cell>
          <cell r="G206">
            <v>241616105.62434304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72330.75</v>
          </cell>
          <cell r="M206">
            <v>0</v>
          </cell>
          <cell r="R206" t="str">
            <v>Max</v>
          </cell>
          <cell r="S206">
            <v>-114062.38328850325</v>
          </cell>
          <cell r="U206">
            <v>73772.162240978621</v>
          </cell>
          <cell r="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str">
            <v>2017-18</v>
          </cell>
          <cell r="L207">
            <v>0</v>
          </cell>
          <cell r="X207" t="str">
            <v>Sec</v>
          </cell>
          <cell r="Y207">
            <v>137010586.23109597</v>
          </cell>
        </row>
        <row r="208">
          <cell r="I208">
            <v>0</v>
          </cell>
          <cell r="J208">
            <v>0.62211312900893068</v>
          </cell>
          <cell r="K208" t="str">
            <v>Primary</v>
          </cell>
          <cell r="L208">
            <v>44089.416666666672</v>
          </cell>
          <cell r="S208">
            <v>0</v>
          </cell>
          <cell r="X208" t="str">
            <v>Sec 3-16</v>
          </cell>
          <cell r="Y208">
            <v>7288326.8496454209</v>
          </cell>
        </row>
        <row r="209">
          <cell r="I209">
            <v>0</v>
          </cell>
          <cell r="J209">
            <v>0.37788687099106938</v>
          </cell>
          <cell r="K209" t="str">
            <v>Secondary</v>
          </cell>
          <cell r="L209">
            <v>26781</v>
          </cell>
          <cell r="Y209">
            <v>144298913.08074141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70870.416666666672</v>
          </cell>
          <cell r="Y210">
            <v>0</v>
          </cell>
        </row>
        <row r="211">
          <cell r="X211" t="str">
            <v>Total</v>
          </cell>
          <cell r="Y211">
            <v>328384113.40274847</v>
          </cell>
        </row>
        <row r="212">
          <cell r="Y212">
            <v>-0.4027484655380249</v>
          </cell>
        </row>
        <row r="214">
          <cell r="D214">
            <v>0</v>
          </cell>
          <cell r="E214" t="str">
            <v>2019-20</v>
          </cell>
          <cell r="F214">
            <v>72330.75</v>
          </cell>
          <cell r="G214">
            <v>241616105.62434304</v>
          </cell>
          <cell r="H214">
            <v>10655103.20235125</v>
          </cell>
          <cell r="I214">
            <v>0</v>
          </cell>
          <cell r="J214">
            <v>10790586.285938025</v>
          </cell>
          <cell r="K214">
            <v>28263420.492599271</v>
          </cell>
          <cell r="L214">
            <v>2822898.067388623</v>
          </cell>
          <cell r="M214">
            <v>294148113.67262018</v>
          </cell>
          <cell r="N214">
            <v>21281000</v>
          </cell>
          <cell r="O214">
            <v>202050.48775377372</v>
          </cell>
          <cell r="P214">
            <v>0</v>
          </cell>
          <cell r="Q214">
            <v>1016377.3684380174</v>
          </cell>
          <cell r="R214">
            <v>0</v>
          </cell>
          <cell r="S214">
            <v>-647544.08457270043</v>
          </cell>
          <cell r="T214">
            <v>0</v>
          </cell>
          <cell r="U214">
            <v>1689505.5593533856</v>
          </cell>
          <cell r="V214">
            <v>6424988.2133653313</v>
          </cell>
          <cell r="W214">
            <v>670370.98479052633</v>
          </cell>
          <cell r="X214">
            <v>3599251.0010000002</v>
          </cell>
          <cell r="Y214">
            <v>328384113</v>
          </cell>
        </row>
        <row r="215">
          <cell r="D215">
            <v>0</v>
          </cell>
          <cell r="E215" t="str">
            <v>2018-19</v>
          </cell>
          <cell r="F215">
            <v>71326.666666666672</v>
          </cell>
          <cell r="G215">
            <v>227664138.424169</v>
          </cell>
          <cell r="H215">
            <v>10655103.202351248</v>
          </cell>
          <cell r="I215">
            <v>0</v>
          </cell>
          <cell r="J215">
            <v>10790586.285938028</v>
          </cell>
          <cell r="K215">
            <v>28263420.49259926</v>
          </cell>
          <cell r="L215">
            <v>2822898.067388623</v>
          </cell>
          <cell r="M215">
            <v>280196146.47244614</v>
          </cell>
          <cell r="N215">
            <v>24475000</v>
          </cell>
          <cell r="O215">
            <v>178642.75114081692</v>
          </cell>
          <cell r="P215">
            <v>0</v>
          </cell>
          <cell r="Q215">
            <v>911587.21332244866</v>
          </cell>
          <cell r="R215">
            <v>0</v>
          </cell>
          <cell r="S215">
            <v>-1876646.1194104666</v>
          </cell>
          <cell r="T215">
            <v>0</v>
          </cell>
          <cell r="U215">
            <v>1886673.4449556647</v>
          </cell>
          <cell r="V215">
            <v>6349675.5832521357</v>
          </cell>
          <cell r="W215">
            <v>614156.61393029708</v>
          </cell>
          <cell r="X215">
            <v>3486536</v>
          </cell>
          <cell r="Y215">
            <v>316221771.95963705</v>
          </cell>
        </row>
        <row r="216">
          <cell r="D216">
            <v>0</v>
          </cell>
          <cell r="E216" t="str">
            <v>£ Var</v>
          </cell>
          <cell r="F216">
            <v>1004.0833333333285</v>
          </cell>
          <cell r="G216">
            <v>13951967.200174034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13951967.200174034</v>
          </cell>
          <cell r="N216">
            <v>-3194000</v>
          </cell>
          <cell r="O216">
            <v>23407.736612956796</v>
          </cell>
          <cell r="P216">
            <v>0</v>
          </cell>
          <cell r="Q216">
            <v>104790.15511556878</v>
          </cell>
          <cell r="R216">
            <v>0</v>
          </cell>
          <cell r="S216">
            <v>1229102.0348377661</v>
          </cell>
          <cell r="T216">
            <v>0</v>
          </cell>
          <cell r="U216">
            <v>-197167.8856022791</v>
          </cell>
          <cell r="V216">
            <v>75312.630113195628</v>
          </cell>
          <cell r="W216">
            <v>56214.370860229246</v>
          </cell>
          <cell r="X216">
            <v>112715.00100000016</v>
          </cell>
          <cell r="Y216">
            <v>12162341.040362954</v>
          </cell>
        </row>
        <row r="217">
          <cell r="D217">
            <v>0</v>
          </cell>
          <cell r="E217" t="str">
            <v>% Var</v>
          </cell>
          <cell r="F217">
            <v>1.4077250210299959E-2</v>
          </cell>
          <cell r="G217">
            <v>6.1283113347345188E-2</v>
          </cell>
          <cell r="H217">
            <v>0</v>
          </cell>
          <cell r="I217" t="e">
            <v>#DIV/0!</v>
          </cell>
          <cell r="J217">
            <v>0</v>
          </cell>
          <cell r="K217">
            <v>0</v>
          </cell>
          <cell r="L217">
            <v>0</v>
          </cell>
          <cell r="M217">
            <v>4.9793572737610932E-2</v>
          </cell>
          <cell r="N217">
            <v>-0.13050051072522983</v>
          </cell>
          <cell r="O217">
            <v>0.13103099041788388</v>
          </cell>
          <cell r="P217">
            <v>0</v>
          </cell>
          <cell r="Q217">
            <v>0.11495351578445426</v>
          </cell>
          <cell r="R217">
            <v>0</v>
          </cell>
          <cell r="S217">
            <v>-0.65494608819689382</v>
          </cell>
          <cell r="T217">
            <v>0</v>
          </cell>
          <cell r="U217">
            <v>-0.10450557097172287</v>
          </cell>
          <cell r="V217">
            <v>1.1860862673337162E-2</v>
          </cell>
          <cell r="W217">
            <v>9.1531002980632603E-2</v>
          </cell>
          <cell r="X217">
            <v>3.2328649697005898E-2</v>
          </cell>
          <cell r="Y217">
            <v>3.846142839878644E-2</v>
          </cell>
        </row>
        <row r="218"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D220">
            <v>0</v>
          </cell>
          <cell r="E220" t="str">
            <v>Primary Maintained</v>
          </cell>
          <cell r="F220">
            <v>25022</v>
          </cell>
          <cell r="G220">
            <v>73558639.42377688</v>
          </cell>
          <cell r="H220">
            <v>2778977.4162518154</v>
          </cell>
          <cell r="I220">
            <v>0</v>
          </cell>
          <cell r="J220">
            <v>2468082.8994508744</v>
          </cell>
          <cell r="K220">
            <v>8786625.8474117126</v>
          </cell>
          <cell r="L220">
            <v>939603.23963470559</v>
          </cell>
          <cell r="M220">
            <v>88531928.826525971</v>
          </cell>
          <cell r="N220">
            <v>10101000</v>
          </cell>
          <cell r="O220">
            <v>57295.894907258167</v>
          </cell>
          <cell r="P220">
            <v>0</v>
          </cell>
          <cell r="Q220">
            <v>0</v>
          </cell>
          <cell r="R220">
            <v>-275806.27273351938</v>
          </cell>
          <cell r="S220">
            <v>-275806.27273351938</v>
          </cell>
          <cell r="T220">
            <v>679679.23321307288</v>
          </cell>
          <cell r="U220">
            <v>679679.23321307288</v>
          </cell>
          <cell r="V220">
            <v>455025.15517386096</v>
          </cell>
          <cell r="W220">
            <v>76411.32921052631</v>
          </cell>
          <cell r="X220">
            <v>1786373.294</v>
          </cell>
          <cell r="Y220">
            <v>101411907.46029718</v>
          </cell>
        </row>
        <row r="221">
          <cell r="D221">
            <v>0</v>
          </cell>
          <cell r="E221" t="str">
            <v>Primary Academies</v>
          </cell>
          <cell r="F221">
            <v>19500.25</v>
          </cell>
          <cell r="G221">
            <v>57326027.432799339</v>
          </cell>
          <cell r="H221">
            <v>3318306.5111468886</v>
          </cell>
          <cell r="I221">
            <v>0</v>
          </cell>
          <cell r="J221">
            <v>3667507.9352353853</v>
          </cell>
          <cell r="K221">
            <v>8367333.1868499545</v>
          </cell>
          <cell r="L221">
            <v>1139707.3993909219</v>
          </cell>
          <cell r="M221">
            <v>73818882.465422511</v>
          </cell>
          <cell r="N221">
            <v>7430012.7615857776</v>
          </cell>
          <cell r="O221">
            <v>134202.48422021137</v>
          </cell>
          <cell r="P221">
            <v>31132.156643886512</v>
          </cell>
          <cell r="Q221">
            <v>31132.156643886512</v>
          </cell>
          <cell r="R221">
            <v>-161819.4991742642</v>
          </cell>
          <cell r="S221">
            <v>-161819.4991742642</v>
          </cell>
          <cell r="T221">
            <v>800501.45393887092</v>
          </cell>
          <cell r="U221">
            <v>811143.66730694706</v>
          </cell>
          <cell r="V221">
            <v>173576.95089486515</v>
          </cell>
          <cell r="W221">
            <v>115545.02685088609</v>
          </cell>
          <cell r="X221">
            <v>320616.84795913025</v>
          </cell>
          <cell r="Y221">
            <v>82673292.861709908</v>
          </cell>
        </row>
        <row r="222">
          <cell r="D222">
            <v>0</v>
          </cell>
          <cell r="E222" t="str">
            <v>Primary Total</v>
          </cell>
          <cell r="F222">
            <v>44522.25</v>
          </cell>
          <cell r="G222">
            <v>130884666.85657622</v>
          </cell>
          <cell r="H222">
            <v>6097283.927398704</v>
          </cell>
          <cell r="I222">
            <v>0</v>
          </cell>
          <cell r="J222">
            <v>6135590.8346862597</v>
          </cell>
          <cell r="K222">
            <v>17153959.034261666</v>
          </cell>
          <cell r="L222">
            <v>2079310.6390256276</v>
          </cell>
          <cell r="M222">
            <v>162350811.2919485</v>
          </cell>
          <cell r="N222">
            <v>17531012.761585779</v>
          </cell>
          <cell r="O222">
            <v>191498.37912746952</v>
          </cell>
          <cell r="P222">
            <v>31132.156643886512</v>
          </cell>
          <cell r="Q222">
            <v>31132.156643886512</v>
          </cell>
          <cell r="R222">
            <v>-437625.77190778358</v>
          </cell>
          <cell r="S222">
            <v>-437625.77190778358</v>
          </cell>
          <cell r="T222">
            <v>1480180.6871519438</v>
          </cell>
          <cell r="U222">
            <v>1490822.9005200199</v>
          </cell>
          <cell r="V222">
            <v>628602.10606872616</v>
          </cell>
          <cell r="W222">
            <v>191956.3560614124</v>
          </cell>
          <cell r="X222">
            <v>2106990.1419591303</v>
          </cell>
          <cell r="Y222">
            <v>184085200.32200709</v>
          </cell>
        </row>
        <row r="223">
          <cell r="D223">
            <v>0</v>
          </cell>
          <cell r="F223">
            <v>0</v>
          </cell>
          <cell r="G223">
            <v>-2.852175384759903E-8</v>
          </cell>
          <cell r="H223">
            <v>-1.2514647096395493E-9</v>
          </cell>
          <cell r="I223">
            <v>0</v>
          </cell>
          <cell r="J223">
            <v>2.1827872842550278E-9</v>
          </cell>
          <cell r="K223">
            <v>-2.1827872842550278E-10</v>
          </cell>
          <cell r="L223">
            <v>-7.2759576141834259E-11</v>
          </cell>
          <cell r="M223">
            <v>1.0011717677116394E-8</v>
          </cell>
          <cell r="N223">
            <v>1.5425030142068863E-9</v>
          </cell>
          <cell r="O223">
            <v>6.3664629124104977E-11</v>
          </cell>
          <cell r="P223">
            <v>0</v>
          </cell>
          <cell r="Q223">
            <v>0</v>
          </cell>
          <cell r="R223">
            <v>5.8207660913467407E-11</v>
          </cell>
          <cell r="S223">
            <v>5.8207660913467407E-11</v>
          </cell>
          <cell r="T223">
            <v>-4.6566128730773926E-10</v>
          </cell>
          <cell r="U223">
            <v>-4.9476511776447296E-10</v>
          </cell>
          <cell r="V223">
            <v>5.8207660913467407E-11</v>
          </cell>
          <cell r="W223">
            <v>0</v>
          </cell>
          <cell r="X223">
            <v>8.3673512563109398E-11</v>
          </cell>
          <cell r="Y223">
            <v>3.4458935260772705E-8</v>
          </cell>
        </row>
        <row r="224">
          <cell r="D224">
            <v>0</v>
          </cell>
          <cell r="F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D225">
            <v>0</v>
          </cell>
          <cell r="E225" t="str">
            <v>Secondary Maintained</v>
          </cell>
          <cell r="F225">
            <v>1143</v>
          </cell>
          <cell r="G225">
            <v>4567990.4532600231</v>
          </cell>
          <cell r="H225">
            <v>182496.00591897964</v>
          </cell>
          <cell r="I225">
            <v>0</v>
          </cell>
          <cell r="J225">
            <v>159872.16560982415</v>
          </cell>
          <cell r="K225">
            <v>404889.16338834865</v>
          </cell>
          <cell r="L225">
            <v>59676.004416421274</v>
          </cell>
          <cell r="M225">
            <v>5374923.7925935965</v>
          </cell>
          <cell r="N225">
            <v>130000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419021.17239571275</v>
          </cell>
          <cell r="W225">
            <v>334084.66610000003</v>
          </cell>
          <cell r="X225">
            <v>493319.60000000003</v>
          </cell>
          <cell r="Y225">
            <v>6751349.2310893089</v>
          </cell>
        </row>
        <row r="226">
          <cell r="D226">
            <v>0</v>
          </cell>
          <cell r="E226" t="str">
            <v>Secondary Academies</v>
          </cell>
          <cell r="F226">
            <v>26665.5</v>
          </cell>
          <cell r="G226">
            <v>106163448.31450675</v>
          </cell>
          <cell r="H226">
            <v>4375323.2690335643</v>
          </cell>
          <cell r="I226">
            <v>0</v>
          </cell>
          <cell r="J226">
            <v>4495123.2856419412</v>
          </cell>
          <cell r="K226">
            <v>10704572.294949256</v>
          </cell>
          <cell r="L226">
            <v>683911.42394657433</v>
          </cell>
          <cell r="M226">
            <v>126422378.58807807</v>
          </cell>
          <cell r="N226">
            <v>3619987.2384142219</v>
          </cell>
          <cell r="O226">
            <v>10552.108626304253</v>
          </cell>
          <cell r="P226">
            <v>985245.21179413097</v>
          </cell>
          <cell r="Q226">
            <v>985245.21179413097</v>
          </cell>
          <cell r="R226">
            <v>-209918.3126649168</v>
          </cell>
          <cell r="S226">
            <v>-209918.3126649168</v>
          </cell>
          <cell r="T226">
            <v>159567.8570682432</v>
          </cell>
          <cell r="U226">
            <v>198682.65883336525</v>
          </cell>
          <cell r="V226">
            <v>5377364.934900892</v>
          </cell>
          <cell r="W226">
            <v>144329.96262911396</v>
          </cell>
          <cell r="X226">
            <v>998941.45904086973</v>
          </cell>
          <cell r="Y226">
            <v>137547563.84965205</v>
          </cell>
        </row>
        <row r="227">
          <cell r="D227">
            <v>0</v>
          </cell>
          <cell r="E227" t="str">
            <v>Secondary Total</v>
          </cell>
          <cell r="F227">
            <v>27808.5</v>
          </cell>
          <cell r="G227">
            <v>110731438.76776677</v>
          </cell>
          <cell r="H227">
            <v>4557819.2749525439</v>
          </cell>
          <cell r="I227">
            <v>0</v>
          </cell>
          <cell r="J227">
            <v>4654995.4512517657</v>
          </cell>
          <cell r="K227">
            <v>11109461.458337605</v>
          </cell>
          <cell r="L227">
            <v>743587.42836299562</v>
          </cell>
          <cell r="M227">
            <v>131797302.38067167</v>
          </cell>
          <cell r="N227">
            <v>3749987.2384142219</v>
          </cell>
          <cell r="O227">
            <v>10552.108626304253</v>
          </cell>
          <cell r="P227">
            <v>985245.21179413097</v>
          </cell>
          <cell r="Q227">
            <v>985245.21179413097</v>
          </cell>
          <cell r="R227">
            <v>-209918.3126649168</v>
          </cell>
          <cell r="S227">
            <v>-209918.3126649168</v>
          </cell>
          <cell r="T227">
            <v>159567.8570682432</v>
          </cell>
          <cell r="U227">
            <v>198682.65883336525</v>
          </cell>
          <cell r="V227">
            <v>5796386.1072966047</v>
          </cell>
          <cell r="W227">
            <v>478414.62872911396</v>
          </cell>
          <cell r="X227">
            <v>1492261.0590408698</v>
          </cell>
          <cell r="Y227">
            <v>144298913.08074135</v>
          </cell>
        </row>
        <row r="228">
          <cell r="D228">
            <v>0</v>
          </cell>
          <cell r="F228">
            <v>0</v>
          </cell>
          <cell r="G228">
            <v>-3.14321368932724E-9</v>
          </cell>
          <cell r="H228">
            <v>-3.7834979593753815E-10</v>
          </cell>
          <cell r="I228">
            <v>0</v>
          </cell>
          <cell r="J228">
            <v>0</v>
          </cell>
          <cell r="K228">
            <v>-2.4738255888223648E-10</v>
          </cell>
          <cell r="L228">
            <v>3.2741809263825417E-11</v>
          </cell>
          <cell r="M228">
            <v>1.257285475730896E-8</v>
          </cell>
          <cell r="N228">
            <v>-1.3824319466948509E-10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7.2759576141834259E-12</v>
          </cell>
          <cell r="V228">
            <v>-1.0477378964424133E-9</v>
          </cell>
          <cell r="W228">
            <v>0</v>
          </cell>
          <cell r="X228">
            <v>1.5097612049430609E-10</v>
          </cell>
          <cell r="Y228">
            <v>-4.5169144868850708E-8</v>
          </cell>
        </row>
        <row r="229">
          <cell r="D229">
            <v>0</v>
          </cell>
          <cell r="F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0</v>
          </cell>
          <cell r="E230" t="str">
            <v>Total Maintained</v>
          </cell>
          <cell r="F230">
            <v>26165</v>
          </cell>
          <cell r="G230">
            <v>78126629.877036899</v>
          </cell>
          <cell r="H230">
            <v>2961473.422170795</v>
          </cell>
          <cell r="I230">
            <v>0</v>
          </cell>
          <cell r="J230">
            <v>2627955.0650606984</v>
          </cell>
          <cell r="K230">
            <v>9191515.0108000617</v>
          </cell>
          <cell r="L230">
            <v>999279.24405112688</v>
          </cell>
          <cell r="M230">
            <v>93906852.61911957</v>
          </cell>
          <cell r="N230">
            <v>10231000</v>
          </cell>
          <cell r="O230">
            <v>57295.894907258167</v>
          </cell>
          <cell r="P230">
            <v>0</v>
          </cell>
          <cell r="Q230">
            <v>0</v>
          </cell>
          <cell r="R230">
            <v>-275806.27273351938</v>
          </cell>
          <cell r="S230">
            <v>-275806.27273351938</v>
          </cell>
          <cell r="T230">
            <v>679679.23321307288</v>
          </cell>
          <cell r="U230">
            <v>679679.23321307288</v>
          </cell>
          <cell r="V230">
            <v>874046.32756957365</v>
          </cell>
          <cell r="W230">
            <v>410495.99531052634</v>
          </cell>
          <cell r="X230">
            <v>2279692.8939999999</v>
          </cell>
          <cell r="Y230">
            <v>108163256.69138649</v>
          </cell>
        </row>
        <row r="231">
          <cell r="D231">
            <v>0</v>
          </cell>
          <cell r="E231" t="str">
            <v>Total Academies</v>
          </cell>
          <cell r="F231">
            <v>46165.75</v>
          </cell>
          <cell r="G231">
            <v>163489475.74730611</v>
          </cell>
          <cell r="H231">
            <v>7693629.7801804524</v>
          </cell>
          <cell r="I231">
            <v>0</v>
          </cell>
          <cell r="J231">
            <v>8162631.220877327</v>
          </cell>
          <cell r="K231">
            <v>19071905.481799211</v>
          </cell>
          <cell r="L231">
            <v>1823618.8233374963</v>
          </cell>
          <cell r="M231">
            <v>200241261.05350059</v>
          </cell>
          <cell r="N231">
            <v>11050000</v>
          </cell>
          <cell r="O231">
            <v>144754.59284651562</v>
          </cell>
          <cell r="P231">
            <v>1016377.3684380174</v>
          </cell>
          <cell r="Q231">
            <v>1016377.3684380174</v>
          </cell>
          <cell r="R231">
            <v>-371737.811839181</v>
          </cell>
          <cell r="S231">
            <v>-371737.811839181</v>
          </cell>
          <cell r="T231">
            <v>960069.31100711413</v>
          </cell>
          <cell r="U231">
            <v>1009826.3261403122</v>
          </cell>
          <cell r="V231">
            <v>5550941.8857957572</v>
          </cell>
          <cell r="W231">
            <v>259874.98948000005</v>
          </cell>
          <cell r="X231">
            <v>1319558.307</v>
          </cell>
          <cell r="Y231">
            <v>220220856.71136194</v>
          </cell>
        </row>
        <row r="232">
          <cell r="D232">
            <v>0</v>
          </cell>
          <cell r="E232" t="str">
            <v>Total All Schools</v>
          </cell>
          <cell r="F232">
            <v>72330.75</v>
          </cell>
          <cell r="G232">
            <v>241616105.62434298</v>
          </cell>
          <cell r="H232">
            <v>10655103.202351248</v>
          </cell>
          <cell r="I232">
            <v>0</v>
          </cell>
          <cell r="J232">
            <v>10790586.285938025</v>
          </cell>
          <cell r="K232">
            <v>28263420.492599271</v>
          </cell>
          <cell r="L232">
            <v>2822898.067388623</v>
          </cell>
          <cell r="M232">
            <v>294148113.67262018</v>
          </cell>
          <cell r="N232">
            <v>21281000</v>
          </cell>
          <cell r="O232">
            <v>202050.48775377378</v>
          </cell>
          <cell r="P232">
            <v>1016377.3684380174</v>
          </cell>
          <cell r="Q232">
            <v>1016377.3684380174</v>
          </cell>
          <cell r="R232">
            <v>-647544.08457270032</v>
          </cell>
          <cell r="S232">
            <v>-647544.08457270032</v>
          </cell>
          <cell r="T232">
            <v>1639748.544220187</v>
          </cell>
          <cell r="U232">
            <v>1689505.5593533851</v>
          </cell>
          <cell r="V232">
            <v>6424988.2133653313</v>
          </cell>
          <cell r="W232">
            <v>670370.98479052633</v>
          </cell>
          <cell r="X232">
            <v>3599251.2010000004</v>
          </cell>
          <cell r="Y232">
            <v>328384113.40274847</v>
          </cell>
        </row>
        <row r="233"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</sheetData>
      <sheetData sheetId="34" refreshError="1"/>
      <sheetData sheetId="35" refreshError="1"/>
      <sheetData sheetId="36" refreshError="1">
        <row r="5">
          <cell r="E5">
            <v>2939.7585893924097</v>
          </cell>
        </row>
        <row r="6">
          <cell r="E6">
            <v>3673.2713856832925</v>
          </cell>
        </row>
        <row r="7">
          <cell r="E7">
            <v>4478.1543038184127</v>
          </cell>
        </row>
        <row r="9">
          <cell r="E9">
            <v>790.02599964926412</v>
          </cell>
        </row>
        <row r="18">
          <cell r="E18">
            <v>162.66017815554829</v>
          </cell>
        </row>
        <row r="19">
          <cell r="E19">
            <v>162.66017815554829</v>
          </cell>
        </row>
        <row r="20">
          <cell r="E20">
            <v>243.99026723332247</v>
          </cell>
        </row>
        <row r="21">
          <cell r="E21">
            <v>325.32035631109665</v>
          </cell>
        </row>
        <row r="22">
          <cell r="E22">
            <v>406.65044538887076</v>
          </cell>
        </row>
        <row r="23">
          <cell r="E23">
            <v>487.980534466645</v>
          </cell>
        </row>
        <row r="24">
          <cell r="E24">
            <v>293.97585893924099</v>
          </cell>
        </row>
        <row r="25">
          <cell r="E25">
            <v>398.19277835110404</v>
          </cell>
        </row>
        <row r="27">
          <cell r="E27">
            <v>1095.0371179390472</v>
          </cell>
        </row>
        <row r="28">
          <cell r="E28">
            <v>1776.3730527823993</v>
          </cell>
        </row>
        <row r="29">
          <cell r="E29">
            <v>344.65067452797842</v>
          </cell>
        </row>
        <row r="30">
          <cell r="E30">
            <v>961.67410385167909</v>
          </cell>
        </row>
      </sheetData>
      <sheetData sheetId="3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stream"/>
      <sheetName val="Special"/>
      <sheetName val="All Sch Incl Acads"/>
    </sheetNames>
    <sheetDataSet>
      <sheetData sheetId="0"/>
      <sheetData sheetId="1"/>
      <sheetData sheetId="2">
        <row r="12">
          <cell r="C12" t="str">
            <v>DfE</v>
          </cell>
          <cell r="D12" t="str">
            <v>Establishment Name</v>
          </cell>
          <cell r="E12" t="str">
            <v>Phase1</v>
          </cell>
          <cell r="F12" t="str">
            <v>Establishment Type</v>
          </cell>
          <cell r="G12" t="str">
            <v>Maintained School or Academy</v>
          </cell>
          <cell r="H12" t="str">
            <v>Geographical Area Code2</v>
          </cell>
          <cell r="I12" t="str">
            <v>Previously published primary per pupil rate (published Oct-18)</v>
          </cell>
          <cell r="J12" t="str">
            <v>Previously published primary pupils (published Oct-18)3</v>
          </cell>
          <cell r="K12" t="str">
            <v>Revised Primary Per Pupil Rate</v>
          </cell>
          <cell r="L12" t="str">
            <v>Revised Primary Pupils3</v>
          </cell>
          <cell r="M12" t="str">
            <v>Secondary Per Pupil Rate (unchanged)</v>
          </cell>
          <cell r="N12" t="str">
            <v>Secondary Pupils (unchanged)4</v>
          </cell>
          <cell r="O12" t="str">
            <v>Original allocation (published Oct-18) 5, 6</v>
          </cell>
          <cell r="P12" t="str">
            <v>Revised Allocation 5, 6</v>
          </cell>
          <cell r="Q12" t="str">
            <v>Final Allocation 2018-19</v>
          </cell>
        </row>
        <row r="13">
          <cell r="C13">
            <v>1000</v>
          </cell>
          <cell r="D13" t="str">
            <v>Broomhall Nursery School</v>
          </cell>
          <cell r="E13" t="str">
            <v>Nursery</v>
          </cell>
          <cell r="F13" t="str">
            <v>Local authority nursery school</v>
          </cell>
          <cell r="G13" t="str">
            <v>Maintained School</v>
          </cell>
          <cell r="H13" t="str">
            <v>Rest</v>
          </cell>
          <cell r="I13">
            <v>16.399999999999999</v>
          </cell>
          <cell r="J13">
            <v>100</v>
          </cell>
          <cell r="K13">
            <v>17.760000000000002</v>
          </cell>
          <cell r="L13">
            <v>100</v>
          </cell>
          <cell r="M13">
            <v>26.54</v>
          </cell>
          <cell r="N13">
            <v>0</v>
          </cell>
          <cell r="O13">
            <v>1640</v>
          </cell>
          <cell r="P13">
            <v>1776</v>
          </cell>
          <cell r="Q13">
            <v>1776</v>
          </cell>
        </row>
        <row r="14">
          <cell r="C14">
            <v>1002</v>
          </cell>
          <cell r="D14" t="str">
            <v>Grace Owen Nursery School</v>
          </cell>
          <cell r="E14" t="str">
            <v>Nursery</v>
          </cell>
          <cell r="F14" t="str">
            <v>Local authority nursery school</v>
          </cell>
          <cell r="G14" t="str">
            <v>Maintained School</v>
          </cell>
          <cell r="H14" t="str">
            <v>Rest</v>
          </cell>
          <cell r="I14">
            <v>16.399999999999999</v>
          </cell>
          <cell r="J14">
            <v>100</v>
          </cell>
          <cell r="K14">
            <v>17.760000000000002</v>
          </cell>
          <cell r="L14">
            <v>100</v>
          </cell>
          <cell r="M14">
            <v>26.54</v>
          </cell>
          <cell r="N14">
            <v>0</v>
          </cell>
          <cell r="O14">
            <v>1640</v>
          </cell>
          <cell r="P14">
            <v>1776</v>
          </cell>
          <cell r="Q14">
            <v>1776</v>
          </cell>
        </row>
        <row r="16">
          <cell r="C16">
            <v>2001</v>
          </cell>
          <cell r="D16" t="str">
            <v>Abbey Lane Primary School</v>
          </cell>
          <cell r="E16" t="str">
            <v>Primary</v>
          </cell>
          <cell r="F16" t="str">
            <v>Community school</v>
          </cell>
          <cell r="G16" t="str">
            <v>Maintained School</v>
          </cell>
          <cell r="H16" t="str">
            <v>Rest</v>
          </cell>
          <cell r="I16">
            <v>16.399999999999999</v>
          </cell>
          <cell r="J16">
            <v>652</v>
          </cell>
          <cell r="K16">
            <v>17.760000000000002</v>
          </cell>
          <cell r="L16">
            <v>598</v>
          </cell>
          <cell r="M16">
            <v>26.54</v>
          </cell>
          <cell r="N16">
            <v>0</v>
          </cell>
          <cell r="O16">
            <v>10693</v>
          </cell>
          <cell r="P16">
            <v>10621</v>
          </cell>
          <cell r="Q16">
            <v>10693</v>
          </cell>
        </row>
        <row r="17">
          <cell r="C17">
            <v>2046</v>
          </cell>
          <cell r="D17" t="str">
            <v>Abbeyfield Primary Academy</v>
          </cell>
          <cell r="E17" t="str">
            <v>Primary</v>
          </cell>
          <cell r="F17" t="str">
            <v>Academy sponsor led</v>
          </cell>
          <cell r="G17" t="str">
            <v>Academy</v>
          </cell>
          <cell r="H17" t="str">
            <v>Rest</v>
          </cell>
          <cell r="I17">
            <v>16.399999999999999</v>
          </cell>
          <cell r="J17">
            <v>495</v>
          </cell>
          <cell r="K17">
            <v>17.760000000000002</v>
          </cell>
          <cell r="L17">
            <v>460</v>
          </cell>
          <cell r="M17">
            <v>26.54</v>
          </cell>
          <cell r="N17">
            <v>0</v>
          </cell>
          <cell r="O17">
            <v>8118</v>
          </cell>
          <cell r="P17">
            <v>8170</v>
          </cell>
          <cell r="Q17">
            <v>8170</v>
          </cell>
        </row>
        <row r="18">
          <cell r="C18">
            <v>2048</v>
          </cell>
          <cell r="D18" t="str">
            <v>Acres Hill Community Primary School</v>
          </cell>
          <cell r="E18" t="str">
            <v>Primary</v>
          </cell>
          <cell r="F18" t="str">
            <v>Academy sponsor led</v>
          </cell>
          <cell r="G18" t="str">
            <v>Academy</v>
          </cell>
          <cell r="H18" t="str">
            <v>Rest</v>
          </cell>
          <cell r="I18">
            <v>16.399999999999999</v>
          </cell>
          <cell r="J18">
            <v>318</v>
          </cell>
          <cell r="K18">
            <v>17.760000000000002</v>
          </cell>
          <cell r="L18">
            <v>301</v>
          </cell>
          <cell r="M18">
            <v>26.54</v>
          </cell>
          <cell r="N18">
            <v>0</v>
          </cell>
          <cell r="O18">
            <v>5216</v>
          </cell>
          <cell r="P18">
            <v>5346</v>
          </cell>
          <cell r="Q18">
            <v>5346</v>
          </cell>
        </row>
        <row r="19">
          <cell r="C19">
            <v>2342</v>
          </cell>
          <cell r="D19" t="str">
            <v>Angram Bank Primary School</v>
          </cell>
          <cell r="E19" t="str">
            <v>Primary</v>
          </cell>
          <cell r="F19" t="str">
            <v>Community school</v>
          </cell>
          <cell r="G19" t="str">
            <v>Maintained School</v>
          </cell>
          <cell r="H19" t="str">
            <v>Rest</v>
          </cell>
          <cell r="I19">
            <v>16.399999999999999</v>
          </cell>
          <cell r="J19">
            <v>291</v>
          </cell>
          <cell r="K19">
            <v>17.760000000000002</v>
          </cell>
          <cell r="L19">
            <v>278</v>
          </cell>
          <cell r="M19">
            <v>26.54</v>
          </cell>
          <cell r="N19">
            <v>0</v>
          </cell>
          <cell r="O19">
            <v>4773</v>
          </cell>
          <cell r="P19">
            <v>4938</v>
          </cell>
          <cell r="Q19">
            <v>4938</v>
          </cell>
        </row>
        <row r="20">
          <cell r="C20">
            <v>2343</v>
          </cell>
          <cell r="D20" t="str">
            <v>Anns Grove Primary School</v>
          </cell>
          <cell r="E20" t="str">
            <v>Primary</v>
          </cell>
          <cell r="F20" t="str">
            <v>Community school</v>
          </cell>
          <cell r="G20" t="str">
            <v>Maintained School</v>
          </cell>
          <cell r="H20" t="str">
            <v>Rest</v>
          </cell>
          <cell r="I20">
            <v>16.399999999999999</v>
          </cell>
          <cell r="J20">
            <v>367</v>
          </cell>
          <cell r="K20">
            <v>17.760000000000002</v>
          </cell>
          <cell r="L20">
            <v>339</v>
          </cell>
          <cell r="M20">
            <v>26.54</v>
          </cell>
          <cell r="N20">
            <v>0</v>
          </cell>
          <cell r="O20">
            <v>6019</v>
          </cell>
          <cell r="P20">
            <v>6021</v>
          </cell>
          <cell r="Q20">
            <v>6021</v>
          </cell>
        </row>
        <row r="21">
          <cell r="C21">
            <v>3429</v>
          </cell>
          <cell r="D21" t="str">
            <v>Arbourthorne Community Primary School</v>
          </cell>
          <cell r="E21" t="str">
            <v>Primary</v>
          </cell>
          <cell r="F21" t="str">
            <v>Community school</v>
          </cell>
          <cell r="G21" t="str">
            <v>Maintained School</v>
          </cell>
          <cell r="H21" t="str">
            <v>Rest</v>
          </cell>
          <cell r="I21">
            <v>16.399999999999999</v>
          </cell>
          <cell r="J21">
            <v>491</v>
          </cell>
          <cell r="K21">
            <v>17.760000000000002</v>
          </cell>
          <cell r="L21">
            <v>453</v>
          </cell>
          <cell r="M21">
            <v>26.54</v>
          </cell>
          <cell r="N21">
            <v>0</v>
          </cell>
          <cell r="O21">
            <v>8053</v>
          </cell>
          <cell r="P21">
            <v>8046</v>
          </cell>
          <cell r="Q21">
            <v>8053</v>
          </cell>
        </row>
        <row r="22">
          <cell r="C22">
            <v>2340</v>
          </cell>
          <cell r="D22" t="str">
            <v>Athelstan Primary School</v>
          </cell>
          <cell r="E22" t="str">
            <v>Primary</v>
          </cell>
          <cell r="F22" t="str">
            <v>Foundation school</v>
          </cell>
          <cell r="G22" t="str">
            <v>Maintained School</v>
          </cell>
          <cell r="H22" t="str">
            <v>Rest</v>
          </cell>
          <cell r="I22">
            <v>16.399999999999999</v>
          </cell>
          <cell r="J22">
            <v>639</v>
          </cell>
          <cell r="K22">
            <v>17.760000000000002</v>
          </cell>
          <cell r="L22">
            <v>585</v>
          </cell>
          <cell r="M22">
            <v>26.54</v>
          </cell>
          <cell r="N22">
            <v>0</v>
          </cell>
          <cell r="O22">
            <v>10480</v>
          </cell>
          <cell r="P22">
            <v>10390</v>
          </cell>
          <cell r="Q22">
            <v>10480</v>
          </cell>
        </row>
        <row r="23">
          <cell r="C23">
            <v>2281</v>
          </cell>
          <cell r="D23" t="str">
            <v>Ballifield Primary School</v>
          </cell>
          <cell r="E23" t="str">
            <v>Primary</v>
          </cell>
          <cell r="F23" t="str">
            <v>Foundation school</v>
          </cell>
          <cell r="G23" t="str">
            <v>Maintained School</v>
          </cell>
          <cell r="H23" t="str">
            <v>Rest</v>
          </cell>
          <cell r="I23">
            <v>16.399999999999999</v>
          </cell>
          <cell r="J23">
            <v>519</v>
          </cell>
          <cell r="K23">
            <v>17.760000000000002</v>
          </cell>
          <cell r="L23">
            <v>480</v>
          </cell>
          <cell r="M23">
            <v>26.54</v>
          </cell>
          <cell r="N23">
            <v>0</v>
          </cell>
          <cell r="O23">
            <v>8512</v>
          </cell>
          <cell r="P23">
            <v>8525</v>
          </cell>
          <cell r="Q23">
            <v>8525</v>
          </cell>
        </row>
        <row r="24">
          <cell r="C24">
            <v>2322</v>
          </cell>
          <cell r="D24" t="str">
            <v>Bankwood Community Primary School</v>
          </cell>
          <cell r="E24" t="str">
            <v>Primary</v>
          </cell>
          <cell r="F24" t="str">
            <v>Community school</v>
          </cell>
          <cell r="G24" t="str">
            <v>Maintained School</v>
          </cell>
          <cell r="H24" t="str">
            <v>Rest</v>
          </cell>
          <cell r="I24">
            <v>16.399999999999999</v>
          </cell>
          <cell r="J24">
            <v>414</v>
          </cell>
          <cell r="K24">
            <v>17.760000000000002</v>
          </cell>
          <cell r="L24">
            <v>384</v>
          </cell>
          <cell r="M24">
            <v>26.54</v>
          </cell>
          <cell r="N24">
            <v>0</v>
          </cell>
          <cell r="O24">
            <v>6790</v>
          </cell>
          <cell r="P24">
            <v>6820</v>
          </cell>
          <cell r="Q24">
            <v>6820</v>
          </cell>
        </row>
        <row r="25">
          <cell r="C25">
            <v>2274</v>
          </cell>
          <cell r="D25" t="str">
            <v>Beck Primary School</v>
          </cell>
          <cell r="E25" t="str">
            <v>Primary</v>
          </cell>
          <cell r="F25" t="str">
            <v>Academy converter</v>
          </cell>
          <cell r="G25" t="str">
            <v>Academy</v>
          </cell>
          <cell r="H25" t="str">
            <v>Rest</v>
          </cell>
          <cell r="I25">
            <v>16.399999999999999</v>
          </cell>
          <cell r="J25">
            <v>803</v>
          </cell>
          <cell r="K25">
            <v>17.760000000000002</v>
          </cell>
          <cell r="L25">
            <v>746</v>
          </cell>
          <cell r="M25">
            <v>26.54</v>
          </cell>
          <cell r="N25">
            <v>0</v>
          </cell>
          <cell r="O25">
            <v>13170</v>
          </cell>
          <cell r="P25">
            <v>13249</v>
          </cell>
          <cell r="Q25">
            <v>13249</v>
          </cell>
        </row>
        <row r="26">
          <cell r="C26">
            <v>2241</v>
          </cell>
          <cell r="D26" t="str">
            <v>Beighton Nursery Infant School</v>
          </cell>
          <cell r="E26" t="str">
            <v>Primary</v>
          </cell>
          <cell r="F26" t="str">
            <v>Community school</v>
          </cell>
          <cell r="G26" t="str">
            <v>Maintained School</v>
          </cell>
          <cell r="H26" t="str">
            <v>Rest</v>
          </cell>
          <cell r="I26">
            <v>16.399999999999999</v>
          </cell>
          <cell r="J26">
            <v>386</v>
          </cell>
          <cell r="K26">
            <v>17.760000000000002</v>
          </cell>
          <cell r="L26">
            <v>328</v>
          </cell>
          <cell r="M26">
            <v>26.54</v>
          </cell>
          <cell r="N26">
            <v>0</v>
          </cell>
          <cell r="O26">
            <v>6331</v>
          </cell>
          <cell r="P26">
            <v>5826</v>
          </cell>
          <cell r="Q26">
            <v>6331</v>
          </cell>
        </row>
        <row r="27">
          <cell r="C27">
            <v>2353</v>
          </cell>
          <cell r="D27" t="str">
            <v>Birley Primary Academy</v>
          </cell>
          <cell r="E27" t="str">
            <v>Primary</v>
          </cell>
          <cell r="F27" t="str">
            <v>Academy converter</v>
          </cell>
          <cell r="G27" t="str">
            <v>Academy</v>
          </cell>
          <cell r="H27" t="str">
            <v>Rest</v>
          </cell>
          <cell r="I27">
            <v>16.399999999999999</v>
          </cell>
          <cell r="J27">
            <v>702</v>
          </cell>
          <cell r="K27">
            <v>17.760000000000002</v>
          </cell>
          <cell r="L27">
            <v>642</v>
          </cell>
          <cell r="M27">
            <v>26.54</v>
          </cell>
          <cell r="N27">
            <v>0</v>
          </cell>
          <cell r="O27">
            <v>11513</v>
          </cell>
          <cell r="P27">
            <v>11402</v>
          </cell>
          <cell r="Q27">
            <v>11513</v>
          </cell>
        </row>
        <row r="28">
          <cell r="C28">
            <v>2323</v>
          </cell>
          <cell r="D28" t="str">
            <v>Birley Spa Primary Academy</v>
          </cell>
          <cell r="E28" t="str">
            <v>Primary</v>
          </cell>
          <cell r="F28" t="str">
            <v>Academy converter</v>
          </cell>
          <cell r="G28" t="str">
            <v>Academy</v>
          </cell>
          <cell r="H28" t="str">
            <v>Rest</v>
          </cell>
          <cell r="I28">
            <v>16.399999999999999</v>
          </cell>
          <cell r="J28">
            <v>481</v>
          </cell>
          <cell r="K28">
            <v>17.760000000000002</v>
          </cell>
          <cell r="L28">
            <v>446</v>
          </cell>
          <cell r="M28">
            <v>26.54</v>
          </cell>
          <cell r="N28">
            <v>0</v>
          </cell>
          <cell r="O28">
            <v>7889</v>
          </cell>
          <cell r="P28">
            <v>7921</v>
          </cell>
          <cell r="Q28">
            <v>7921</v>
          </cell>
        </row>
        <row r="29">
          <cell r="C29">
            <v>2328</v>
          </cell>
          <cell r="D29" t="str">
            <v>Bradfield Dungworth Primary School</v>
          </cell>
          <cell r="E29" t="str">
            <v>Primary</v>
          </cell>
          <cell r="F29" t="str">
            <v>Community school</v>
          </cell>
          <cell r="G29" t="str">
            <v>Maintained School</v>
          </cell>
          <cell r="H29" t="str">
            <v>Rest</v>
          </cell>
          <cell r="I29">
            <v>16.399999999999999</v>
          </cell>
          <cell r="J29">
            <v>112</v>
          </cell>
          <cell r="K29">
            <v>17.760000000000002</v>
          </cell>
          <cell r="L29">
            <v>103</v>
          </cell>
          <cell r="M29">
            <v>26.54</v>
          </cell>
          <cell r="N29">
            <v>0</v>
          </cell>
          <cell r="O29">
            <v>1837</v>
          </cell>
          <cell r="P29">
            <v>1830</v>
          </cell>
          <cell r="Q29">
            <v>1837</v>
          </cell>
        </row>
        <row r="30">
          <cell r="C30">
            <v>2233</v>
          </cell>
          <cell r="D30" t="str">
            <v>Bradway Primary School</v>
          </cell>
          <cell r="E30" t="str">
            <v>Primary</v>
          </cell>
          <cell r="F30" t="str">
            <v>Community school</v>
          </cell>
          <cell r="G30" t="str">
            <v>Maintained School</v>
          </cell>
          <cell r="H30" t="str">
            <v>Rest</v>
          </cell>
          <cell r="I30">
            <v>16.399999999999999</v>
          </cell>
          <cell r="J30">
            <v>435</v>
          </cell>
          <cell r="K30">
            <v>17.760000000000002</v>
          </cell>
          <cell r="L30">
            <v>405</v>
          </cell>
          <cell r="M30">
            <v>26.54</v>
          </cell>
          <cell r="N30">
            <v>0</v>
          </cell>
          <cell r="O30">
            <v>7134</v>
          </cell>
          <cell r="P30">
            <v>7193</v>
          </cell>
          <cell r="Q30">
            <v>7193</v>
          </cell>
        </row>
        <row r="31">
          <cell r="C31">
            <v>2014</v>
          </cell>
          <cell r="D31" t="str">
            <v>Brightside Nursery and Infant School</v>
          </cell>
          <cell r="E31" t="str">
            <v>Primary</v>
          </cell>
          <cell r="F31" t="str">
            <v>Community school</v>
          </cell>
          <cell r="G31" t="str">
            <v>Maintained School</v>
          </cell>
          <cell r="H31" t="str">
            <v>Rest</v>
          </cell>
          <cell r="I31">
            <v>16.399999999999999</v>
          </cell>
          <cell r="J31">
            <v>273</v>
          </cell>
          <cell r="K31">
            <v>17.760000000000002</v>
          </cell>
          <cell r="L31">
            <v>236</v>
          </cell>
          <cell r="M31">
            <v>26.54</v>
          </cell>
          <cell r="N31">
            <v>0</v>
          </cell>
          <cell r="O31">
            <v>4478</v>
          </cell>
          <cell r="P31">
            <v>4192</v>
          </cell>
          <cell r="Q31">
            <v>4478</v>
          </cell>
        </row>
        <row r="32">
          <cell r="C32">
            <v>2246</v>
          </cell>
          <cell r="D32" t="str">
            <v>Brook House Junior School</v>
          </cell>
          <cell r="E32" t="str">
            <v>Primary</v>
          </cell>
          <cell r="F32" t="str">
            <v>Community school</v>
          </cell>
          <cell r="G32" t="str">
            <v>Maintained School</v>
          </cell>
          <cell r="H32" t="str">
            <v>Rest</v>
          </cell>
          <cell r="I32">
            <v>16.399999999999999</v>
          </cell>
          <cell r="J32">
            <v>326</v>
          </cell>
          <cell r="K32">
            <v>17.760000000000002</v>
          </cell>
          <cell r="L32">
            <v>326</v>
          </cell>
          <cell r="M32">
            <v>26.54</v>
          </cell>
          <cell r="N32">
            <v>0</v>
          </cell>
          <cell r="O32">
            <v>5347</v>
          </cell>
          <cell r="P32">
            <v>5790</v>
          </cell>
          <cell r="Q32">
            <v>5790</v>
          </cell>
        </row>
        <row r="33">
          <cell r="C33">
            <v>5204</v>
          </cell>
          <cell r="D33" t="str">
            <v>Broomhill Infant School</v>
          </cell>
          <cell r="E33" t="str">
            <v>Primary</v>
          </cell>
          <cell r="F33" t="str">
            <v>Foundation school</v>
          </cell>
          <cell r="G33" t="str">
            <v>Maintained School</v>
          </cell>
          <cell r="H33" t="str">
            <v>Rest</v>
          </cell>
          <cell r="I33">
            <v>16.399999999999999</v>
          </cell>
          <cell r="J33">
            <v>137</v>
          </cell>
          <cell r="K33">
            <v>17.760000000000002</v>
          </cell>
          <cell r="L33">
            <v>112</v>
          </cell>
          <cell r="M33">
            <v>26.54</v>
          </cell>
          <cell r="N33">
            <v>0</v>
          </cell>
          <cell r="O33">
            <v>2247</v>
          </cell>
          <cell r="P33">
            <v>1990</v>
          </cell>
          <cell r="Q33">
            <v>2247</v>
          </cell>
        </row>
        <row r="34">
          <cell r="C34">
            <v>2325</v>
          </cell>
          <cell r="D34" t="str">
            <v>Brunswick Community Primary School</v>
          </cell>
          <cell r="E34" t="str">
            <v>Primary</v>
          </cell>
          <cell r="F34" t="str">
            <v>Foundation school</v>
          </cell>
          <cell r="G34" t="str">
            <v>Maintained School</v>
          </cell>
          <cell r="H34" t="str">
            <v>Rest</v>
          </cell>
          <cell r="I34">
            <v>16.399999999999999</v>
          </cell>
          <cell r="J34">
            <v>495</v>
          </cell>
          <cell r="K34">
            <v>17.760000000000002</v>
          </cell>
          <cell r="L34">
            <v>465</v>
          </cell>
          <cell r="M34">
            <v>26.54</v>
          </cell>
          <cell r="N34">
            <v>0</v>
          </cell>
          <cell r="O34">
            <v>8118</v>
          </cell>
          <cell r="P34">
            <v>8259</v>
          </cell>
          <cell r="Q34">
            <v>8259</v>
          </cell>
        </row>
        <row r="35">
          <cell r="C35">
            <v>2095</v>
          </cell>
          <cell r="D35" t="str">
            <v>Byron Wood Primary Academy</v>
          </cell>
          <cell r="E35" t="str">
            <v>Primary</v>
          </cell>
          <cell r="F35" t="str">
            <v>Academy converter</v>
          </cell>
          <cell r="G35" t="str">
            <v>Academy</v>
          </cell>
          <cell r="H35" t="str">
            <v>Rest</v>
          </cell>
          <cell r="I35">
            <v>16.399999999999999</v>
          </cell>
          <cell r="J35">
            <v>492</v>
          </cell>
          <cell r="K35">
            <v>17.760000000000002</v>
          </cell>
          <cell r="L35">
            <v>450</v>
          </cell>
          <cell r="M35">
            <v>26.54</v>
          </cell>
          <cell r="N35">
            <v>0</v>
          </cell>
          <cell r="O35">
            <v>8069</v>
          </cell>
          <cell r="P35">
            <v>7992</v>
          </cell>
          <cell r="Q35">
            <v>8069</v>
          </cell>
        </row>
        <row r="36">
          <cell r="C36">
            <v>2344</v>
          </cell>
          <cell r="D36" t="str">
            <v>Carfield Primary School</v>
          </cell>
          <cell r="E36" t="str">
            <v>Primary</v>
          </cell>
          <cell r="F36" t="str">
            <v>Community school</v>
          </cell>
          <cell r="G36" t="str">
            <v>Maintained School</v>
          </cell>
          <cell r="H36" t="str">
            <v>Rest</v>
          </cell>
          <cell r="I36">
            <v>16.399999999999999</v>
          </cell>
          <cell r="J36">
            <v>653</v>
          </cell>
          <cell r="K36">
            <v>17.760000000000002</v>
          </cell>
          <cell r="L36">
            <v>608</v>
          </cell>
          <cell r="M36">
            <v>26.54</v>
          </cell>
          <cell r="N36">
            <v>0</v>
          </cell>
          <cell r="O36">
            <v>10710</v>
          </cell>
          <cell r="P36">
            <v>10799</v>
          </cell>
          <cell r="Q36">
            <v>10799</v>
          </cell>
        </row>
        <row r="37">
          <cell r="C37">
            <v>2023</v>
          </cell>
          <cell r="D37" t="str">
            <v>Carter Knowle Junior School</v>
          </cell>
          <cell r="E37" t="str">
            <v>Primary</v>
          </cell>
          <cell r="F37" t="str">
            <v>Community school</v>
          </cell>
          <cell r="G37" t="str">
            <v>Maintained School</v>
          </cell>
          <cell r="H37" t="str">
            <v>Rest</v>
          </cell>
          <cell r="I37">
            <v>16.399999999999999</v>
          </cell>
          <cell r="J37">
            <v>214</v>
          </cell>
          <cell r="K37">
            <v>17.760000000000002</v>
          </cell>
          <cell r="L37">
            <v>214</v>
          </cell>
          <cell r="M37">
            <v>26.54</v>
          </cell>
          <cell r="N37">
            <v>0</v>
          </cell>
          <cell r="O37">
            <v>3510</v>
          </cell>
          <cell r="P37">
            <v>3801</v>
          </cell>
          <cell r="Q37">
            <v>3801</v>
          </cell>
        </row>
        <row r="38">
          <cell r="C38">
            <v>2354</v>
          </cell>
          <cell r="D38" t="str">
            <v>Charnock Hall Primary Academy</v>
          </cell>
          <cell r="E38" t="str">
            <v>Primary</v>
          </cell>
          <cell r="F38" t="str">
            <v>Academy converter</v>
          </cell>
          <cell r="G38" t="str">
            <v>Academy</v>
          </cell>
          <cell r="H38" t="str">
            <v>Rest</v>
          </cell>
          <cell r="I38">
            <v>16.399999999999999</v>
          </cell>
          <cell r="J38">
            <v>444</v>
          </cell>
          <cell r="K38">
            <v>17.760000000000002</v>
          </cell>
          <cell r="L38">
            <v>405</v>
          </cell>
          <cell r="M38">
            <v>26.54</v>
          </cell>
          <cell r="N38">
            <v>0</v>
          </cell>
          <cell r="O38">
            <v>7282</v>
          </cell>
          <cell r="P38">
            <v>7193</v>
          </cell>
          <cell r="Q38">
            <v>7282</v>
          </cell>
        </row>
        <row r="39">
          <cell r="C39">
            <v>5200</v>
          </cell>
          <cell r="D39" t="str">
            <v>Clifford All Saints CofE Primary School</v>
          </cell>
          <cell r="E39" t="str">
            <v>Primary</v>
          </cell>
          <cell r="F39" t="str">
            <v>Voluntary aided school</v>
          </cell>
          <cell r="G39" t="str">
            <v>Maintained School</v>
          </cell>
          <cell r="H39" t="str">
            <v>Rest</v>
          </cell>
          <cell r="I39">
            <v>16.399999999999999</v>
          </cell>
          <cell r="J39">
            <v>103</v>
          </cell>
          <cell r="K39">
            <v>17.760000000000002</v>
          </cell>
          <cell r="L39">
            <v>100</v>
          </cell>
          <cell r="M39">
            <v>26.54</v>
          </cell>
          <cell r="N39">
            <v>0</v>
          </cell>
          <cell r="O39">
            <v>1690</v>
          </cell>
          <cell r="P39">
            <v>1776</v>
          </cell>
          <cell r="Q39">
            <v>1776</v>
          </cell>
        </row>
        <row r="40">
          <cell r="C40">
            <v>2312</v>
          </cell>
          <cell r="D40" t="str">
            <v>Coit Primary School</v>
          </cell>
          <cell r="E40" t="str">
            <v>Primary</v>
          </cell>
          <cell r="F40" t="str">
            <v>Community school</v>
          </cell>
          <cell r="G40" t="str">
            <v>Maintained School</v>
          </cell>
          <cell r="H40" t="str">
            <v>Rest</v>
          </cell>
          <cell r="I40">
            <v>16.399999999999999</v>
          </cell>
          <cell r="J40">
            <v>233</v>
          </cell>
          <cell r="K40">
            <v>17.760000000000002</v>
          </cell>
          <cell r="L40">
            <v>207</v>
          </cell>
          <cell r="M40">
            <v>26.54</v>
          </cell>
          <cell r="N40">
            <v>0</v>
          </cell>
          <cell r="O40">
            <v>3822</v>
          </cell>
          <cell r="P40">
            <v>3677</v>
          </cell>
          <cell r="Q40">
            <v>3822</v>
          </cell>
        </row>
        <row r="41">
          <cell r="C41">
            <v>2026</v>
          </cell>
          <cell r="D41" t="str">
            <v>Concord Junior School</v>
          </cell>
          <cell r="E41" t="str">
            <v>Primary</v>
          </cell>
          <cell r="F41" t="str">
            <v>Academy sponsor led</v>
          </cell>
          <cell r="G41" t="str">
            <v>Academy</v>
          </cell>
          <cell r="H41" t="str">
            <v>Rest</v>
          </cell>
          <cell r="I41">
            <v>16.399999999999999</v>
          </cell>
          <cell r="J41">
            <v>212</v>
          </cell>
          <cell r="K41">
            <v>17.760000000000002</v>
          </cell>
          <cell r="L41">
            <v>212</v>
          </cell>
          <cell r="M41">
            <v>26.54</v>
          </cell>
          <cell r="N41">
            <v>0</v>
          </cell>
          <cell r="O41">
            <v>3477</v>
          </cell>
          <cell r="P41">
            <v>3766</v>
          </cell>
          <cell r="Q41">
            <v>3766</v>
          </cell>
        </row>
        <row r="42">
          <cell r="C42">
            <v>3422</v>
          </cell>
          <cell r="D42" t="str">
            <v>Deepcar St John's Church of England Junior School</v>
          </cell>
          <cell r="E42" t="str">
            <v>Primary</v>
          </cell>
          <cell r="F42" t="str">
            <v>Voluntary aided school</v>
          </cell>
          <cell r="G42" t="str">
            <v>Maintained School</v>
          </cell>
          <cell r="H42" t="str">
            <v>Rest</v>
          </cell>
          <cell r="I42">
            <v>16.399999999999999</v>
          </cell>
          <cell r="J42">
            <v>152</v>
          </cell>
          <cell r="K42">
            <v>17.760000000000002</v>
          </cell>
          <cell r="L42">
            <v>152</v>
          </cell>
          <cell r="M42">
            <v>26.54</v>
          </cell>
          <cell r="N42">
            <v>0</v>
          </cell>
          <cell r="O42">
            <v>2493</v>
          </cell>
          <cell r="P42">
            <v>2700</v>
          </cell>
          <cell r="Q42">
            <v>2700</v>
          </cell>
        </row>
        <row r="43">
          <cell r="C43">
            <v>2283</v>
          </cell>
          <cell r="D43" t="str">
            <v>Dobcroft Infant School</v>
          </cell>
          <cell r="E43" t="str">
            <v>Primary</v>
          </cell>
          <cell r="F43" t="str">
            <v>Community school</v>
          </cell>
          <cell r="G43" t="str">
            <v>Maintained School</v>
          </cell>
          <cell r="H43" t="str">
            <v>Rest</v>
          </cell>
          <cell r="I43">
            <v>16.399999999999999</v>
          </cell>
          <cell r="J43">
            <v>351</v>
          </cell>
          <cell r="K43">
            <v>17.760000000000002</v>
          </cell>
          <cell r="L43">
            <v>300</v>
          </cell>
          <cell r="M43">
            <v>26.54</v>
          </cell>
          <cell r="N43">
            <v>0</v>
          </cell>
          <cell r="O43">
            <v>5757</v>
          </cell>
          <cell r="P43">
            <v>5328</v>
          </cell>
          <cell r="Q43">
            <v>5757</v>
          </cell>
        </row>
        <row r="44">
          <cell r="C44">
            <v>2239</v>
          </cell>
          <cell r="D44" t="str">
            <v>Dobcroft Junior School</v>
          </cell>
          <cell r="E44" t="str">
            <v>Primary</v>
          </cell>
          <cell r="F44" t="str">
            <v>Community school</v>
          </cell>
          <cell r="G44" t="str">
            <v>Maintained School</v>
          </cell>
          <cell r="H44" t="str">
            <v>Rest</v>
          </cell>
          <cell r="I44">
            <v>16.399999999999999</v>
          </cell>
          <cell r="J44">
            <v>369</v>
          </cell>
          <cell r="K44">
            <v>17.760000000000002</v>
          </cell>
          <cell r="L44">
            <v>369</v>
          </cell>
          <cell r="M44">
            <v>26.54</v>
          </cell>
          <cell r="N44">
            <v>0</v>
          </cell>
          <cell r="O44">
            <v>6052</v>
          </cell>
          <cell r="P44">
            <v>6554</v>
          </cell>
          <cell r="Q44">
            <v>6554</v>
          </cell>
        </row>
        <row r="45">
          <cell r="C45">
            <v>2364</v>
          </cell>
          <cell r="D45" t="str">
            <v>Dore Primary School</v>
          </cell>
          <cell r="E45" t="str">
            <v>Primary</v>
          </cell>
          <cell r="F45" t="str">
            <v>Community school</v>
          </cell>
          <cell r="G45" t="str">
            <v>Maintained School</v>
          </cell>
          <cell r="H45" t="str">
            <v>Rest</v>
          </cell>
          <cell r="I45">
            <v>16.399999999999999</v>
          </cell>
          <cell r="J45">
            <v>496</v>
          </cell>
          <cell r="K45">
            <v>17.760000000000002</v>
          </cell>
          <cell r="L45">
            <v>458</v>
          </cell>
          <cell r="M45">
            <v>26.54</v>
          </cell>
          <cell r="N45">
            <v>0</v>
          </cell>
          <cell r="O45">
            <v>8135</v>
          </cell>
          <cell r="P45">
            <v>8135</v>
          </cell>
          <cell r="Q45">
            <v>8135</v>
          </cell>
        </row>
        <row r="46">
          <cell r="C46">
            <v>2206</v>
          </cell>
          <cell r="D46" t="str">
            <v>Ecclesall Infant School</v>
          </cell>
          <cell r="E46" t="str">
            <v>Primary</v>
          </cell>
          <cell r="F46" t="str">
            <v>Community school</v>
          </cell>
          <cell r="G46" t="str">
            <v>Maintained School</v>
          </cell>
          <cell r="H46" t="str">
            <v>Rest</v>
          </cell>
          <cell r="I46">
            <v>16.399999999999999</v>
          </cell>
          <cell r="J46">
            <v>640</v>
          </cell>
          <cell r="K46">
            <v>17.760000000000002</v>
          </cell>
          <cell r="L46">
            <v>592</v>
          </cell>
          <cell r="M46">
            <v>26.54</v>
          </cell>
          <cell r="N46">
            <v>0</v>
          </cell>
          <cell r="O46">
            <v>10496</v>
          </cell>
          <cell r="P46">
            <v>10514</v>
          </cell>
          <cell r="Q46">
            <v>10514</v>
          </cell>
        </row>
        <row r="47">
          <cell r="C47">
            <v>2080</v>
          </cell>
          <cell r="D47" t="str">
            <v>Ecclesfield Primary School</v>
          </cell>
          <cell r="E47" t="str">
            <v>Primary</v>
          </cell>
          <cell r="F47" t="str">
            <v>Community school</v>
          </cell>
          <cell r="G47" t="str">
            <v>Maintained School</v>
          </cell>
          <cell r="H47" t="str">
            <v>Rest</v>
          </cell>
          <cell r="I47">
            <v>16.399999999999999</v>
          </cell>
          <cell r="J47">
            <v>453</v>
          </cell>
          <cell r="K47">
            <v>17.760000000000002</v>
          </cell>
          <cell r="L47">
            <v>411</v>
          </cell>
          <cell r="M47">
            <v>26.54</v>
          </cell>
          <cell r="N47">
            <v>0</v>
          </cell>
          <cell r="O47">
            <v>7430</v>
          </cell>
          <cell r="P47">
            <v>7300</v>
          </cell>
          <cell r="Q47">
            <v>7430</v>
          </cell>
        </row>
        <row r="48">
          <cell r="C48">
            <v>2024</v>
          </cell>
          <cell r="D48" t="str">
            <v>Emmanuel Anglican/Methodist Junior School</v>
          </cell>
          <cell r="E48" t="str">
            <v>Primary</v>
          </cell>
          <cell r="F48" t="str">
            <v>Academy sponsor led</v>
          </cell>
          <cell r="G48" t="str">
            <v>Academy</v>
          </cell>
          <cell r="H48" t="str">
            <v>Rest</v>
          </cell>
          <cell r="I48">
            <v>16.399999999999999</v>
          </cell>
          <cell r="J48">
            <v>193</v>
          </cell>
          <cell r="K48">
            <v>17.760000000000002</v>
          </cell>
          <cell r="L48">
            <v>193</v>
          </cell>
          <cell r="M48">
            <v>26.54</v>
          </cell>
          <cell r="N48">
            <v>0</v>
          </cell>
          <cell r="O48">
            <v>3166</v>
          </cell>
          <cell r="P48">
            <v>3428</v>
          </cell>
          <cell r="Q48">
            <v>3428</v>
          </cell>
        </row>
        <row r="49">
          <cell r="C49">
            <v>2028</v>
          </cell>
          <cell r="D49" t="str">
            <v>Emmaus Catholic and CofE Primary School</v>
          </cell>
          <cell r="E49" t="str">
            <v>Primary</v>
          </cell>
          <cell r="F49" t="str">
            <v>Academy sponsor led</v>
          </cell>
          <cell r="G49" t="str">
            <v>Academy</v>
          </cell>
          <cell r="H49" t="str">
            <v>Rest</v>
          </cell>
          <cell r="I49">
            <v>16.399999999999999</v>
          </cell>
          <cell r="J49">
            <v>373</v>
          </cell>
          <cell r="K49">
            <v>17.760000000000002</v>
          </cell>
          <cell r="L49">
            <v>346</v>
          </cell>
          <cell r="M49">
            <v>26.54</v>
          </cell>
          <cell r="N49">
            <v>0</v>
          </cell>
          <cell r="O49">
            <v>6118</v>
          </cell>
          <cell r="P49">
            <v>6145</v>
          </cell>
          <cell r="Q49">
            <v>6145</v>
          </cell>
        </row>
        <row r="50">
          <cell r="C50">
            <v>2010</v>
          </cell>
          <cell r="D50" t="str">
            <v>Fox Hill Primary</v>
          </cell>
          <cell r="E50" t="str">
            <v>Primary</v>
          </cell>
          <cell r="F50" t="str">
            <v>Academy sponsor led</v>
          </cell>
          <cell r="G50" t="str">
            <v>Academy</v>
          </cell>
          <cell r="H50" t="str">
            <v>Rest</v>
          </cell>
          <cell r="I50">
            <v>16.399999999999999</v>
          </cell>
          <cell r="J50">
            <v>365</v>
          </cell>
          <cell r="K50">
            <v>17.760000000000002</v>
          </cell>
          <cell r="L50">
            <v>335</v>
          </cell>
          <cell r="M50">
            <v>26.54</v>
          </cell>
          <cell r="N50">
            <v>0</v>
          </cell>
          <cell r="O50">
            <v>5986</v>
          </cell>
          <cell r="P50">
            <v>5950</v>
          </cell>
          <cell r="Q50">
            <v>5986</v>
          </cell>
        </row>
        <row r="51">
          <cell r="C51">
            <v>2036</v>
          </cell>
          <cell r="D51" t="str">
            <v>Gleadless Primary School</v>
          </cell>
          <cell r="E51" t="str">
            <v>Primary</v>
          </cell>
          <cell r="F51" t="str">
            <v>Community school</v>
          </cell>
          <cell r="G51" t="str">
            <v>Maintained School</v>
          </cell>
          <cell r="H51" t="str">
            <v>Rest</v>
          </cell>
          <cell r="I51">
            <v>16.399999999999999</v>
          </cell>
          <cell r="J51">
            <v>478</v>
          </cell>
          <cell r="K51">
            <v>17.760000000000002</v>
          </cell>
          <cell r="L51">
            <v>444</v>
          </cell>
          <cell r="M51">
            <v>26.54</v>
          </cell>
          <cell r="N51">
            <v>0</v>
          </cell>
          <cell r="O51">
            <v>7840</v>
          </cell>
          <cell r="P51">
            <v>7886</v>
          </cell>
          <cell r="Q51">
            <v>7886</v>
          </cell>
        </row>
        <row r="52">
          <cell r="C52">
            <v>2305</v>
          </cell>
          <cell r="D52" t="str">
            <v>Greengate Lane Academy</v>
          </cell>
          <cell r="E52" t="str">
            <v>Primary</v>
          </cell>
          <cell r="F52" t="str">
            <v>Academy converter</v>
          </cell>
          <cell r="G52" t="str">
            <v>Academy</v>
          </cell>
          <cell r="H52" t="str">
            <v>Rest</v>
          </cell>
          <cell r="I52">
            <v>16.399999999999999</v>
          </cell>
          <cell r="J52">
            <v>218</v>
          </cell>
          <cell r="K52">
            <v>17.760000000000002</v>
          </cell>
          <cell r="L52">
            <v>200</v>
          </cell>
          <cell r="M52">
            <v>26.54</v>
          </cell>
          <cell r="N52">
            <v>0</v>
          </cell>
          <cell r="O52">
            <v>3576</v>
          </cell>
          <cell r="P52">
            <v>3552</v>
          </cell>
          <cell r="Q52">
            <v>3576</v>
          </cell>
        </row>
        <row r="53">
          <cell r="C53">
            <v>2341</v>
          </cell>
          <cell r="D53" t="str">
            <v>Greenhill Primary School</v>
          </cell>
          <cell r="E53" t="str">
            <v>Primary</v>
          </cell>
          <cell r="F53" t="str">
            <v>Academy converter</v>
          </cell>
          <cell r="G53" t="str">
            <v>Academy</v>
          </cell>
          <cell r="H53" t="str">
            <v>Rest</v>
          </cell>
          <cell r="I53">
            <v>16.399999999999999</v>
          </cell>
          <cell r="J53">
            <v>548</v>
          </cell>
          <cell r="K53">
            <v>17.760000000000002</v>
          </cell>
          <cell r="L53">
            <v>505</v>
          </cell>
          <cell r="M53">
            <v>26.54</v>
          </cell>
          <cell r="N53">
            <v>0</v>
          </cell>
          <cell r="O53">
            <v>8988</v>
          </cell>
          <cell r="P53">
            <v>8969</v>
          </cell>
          <cell r="Q53">
            <v>8988</v>
          </cell>
        </row>
        <row r="54">
          <cell r="C54">
            <v>2296</v>
          </cell>
          <cell r="D54" t="str">
            <v>Grenoside Community Primary School</v>
          </cell>
          <cell r="E54" t="str">
            <v>Primary</v>
          </cell>
          <cell r="F54" t="str">
            <v>Community school</v>
          </cell>
          <cell r="G54" t="str">
            <v>Maintained School</v>
          </cell>
          <cell r="H54" t="str">
            <v>Rest</v>
          </cell>
          <cell r="I54">
            <v>16.399999999999999</v>
          </cell>
          <cell r="J54">
            <v>372</v>
          </cell>
          <cell r="K54">
            <v>17.760000000000002</v>
          </cell>
          <cell r="L54">
            <v>341</v>
          </cell>
          <cell r="M54">
            <v>26.54</v>
          </cell>
          <cell r="N54">
            <v>0</v>
          </cell>
          <cell r="O54">
            <v>6101</v>
          </cell>
          <cell r="P54">
            <v>6057</v>
          </cell>
          <cell r="Q54">
            <v>6101</v>
          </cell>
        </row>
        <row r="55">
          <cell r="C55">
            <v>2356</v>
          </cell>
          <cell r="D55" t="str">
            <v>Greystones Primary School</v>
          </cell>
          <cell r="E55" t="str">
            <v>Primary</v>
          </cell>
          <cell r="F55" t="str">
            <v>Community school</v>
          </cell>
          <cell r="G55" t="str">
            <v>Maintained School</v>
          </cell>
          <cell r="H55" t="str">
            <v>Rest</v>
          </cell>
          <cell r="I55">
            <v>16.399999999999999</v>
          </cell>
          <cell r="J55">
            <v>646</v>
          </cell>
          <cell r="K55">
            <v>17.760000000000002</v>
          </cell>
          <cell r="L55">
            <v>595</v>
          </cell>
          <cell r="M55">
            <v>26.54</v>
          </cell>
          <cell r="N55">
            <v>0</v>
          </cell>
          <cell r="O55">
            <v>10595</v>
          </cell>
          <cell r="P55">
            <v>10568</v>
          </cell>
          <cell r="Q55">
            <v>10595</v>
          </cell>
        </row>
        <row r="56">
          <cell r="C56">
            <v>2279</v>
          </cell>
          <cell r="D56" t="str">
            <v>Halfway Junior School</v>
          </cell>
          <cell r="E56" t="str">
            <v>Primary</v>
          </cell>
          <cell r="F56" t="str">
            <v>Community school</v>
          </cell>
          <cell r="G56" t="str">
            <v>Maintained School</v>
          </cell>
          <cell r="H56" t="str">
            <v>Rest</v>
          </cell>
          <cell r="I56">
            <v>16.399999999999999</v>
          </cell>
          <cell r="J56">
            <v>197</v>
          </cell>
          <cell r="K56">
            <v>17.760000000000002</v>
          </cell>
          <cell r="L56">
            <v>197</v>
          </cell>
          <cell r="M56">
            <v>26.54</v>
          </cell>
          <cell r="N56">
            <v>0</v>
          </cell>
          <cell r="O56">
            <v>3231</v>
          </cell>
          <cell r="P56">
            <v>3499</v>
          </cell>
          <cell r="Q56">
            <v>3499</v>
          </cell>
        </row>
        <row r="57">
          <cell r="C57">
            <v>2252</v>
          </cell>
          <cell r="D57" t="str">
            <v>Halfway Nursery Infant School</v>
          </cell>
          <cell r="E57" t="str">
            <v>Primary</v>
          </cell>
          <cell r="F57" t="str">
            <v>Community school</v>
          </cell>
          <cell r="G57" t="str">
            <v>Maintained School</v>
          </cell>
          <cell r="H57" t="str">
            <v>Rest</v>
          </cell>
          <cell r="I57">
            <v>16.399999999999999</v>
          </cell>
          <cell r="J57">
            <v>253</v>
          </cell>
          <cell r="K57">
            <v>17.760000000000002</v>
          </cell>
          <cell r="L57">
            <v>221</v>
          </cell>
          <cell r="M57">
            <v>26.54</v>
          </cell>
          <cell r="N57">
            <v>0</v>
          </cell>
          <cell r="O57">
            <v>4150</v>
          </cell>
          <cell r="P57">
            <v>3925</v>
          </cell>
          <cell r="Q57">
            <v>4150</v>
          </cell>
        </row>
        <row r="58">
          <cell r="C58">
            <v>2357</v>
          </cell>
          <cell r="D58" t="str">
            <v>Hallam Primary School</v>
          </cell>
          <cell r="E58" t="str">
            <v>Primary</v>
          </cell>
          <cell r="F58" t="str">
            <v>Academy converter</v>
          </cell>
          <cell r="G58" t="str">
            <v>Academy</v>
          </cell>
          <cell r="H58" t="str">
            <v>Rest</v>
          </cell>
          <cell r="I58">
            <v>16.399999999999999</v>
          </cell>
          <cell r="J58">
            <v>679</v>
          </cell>
          <cell r="K58">
            <v>17.760000000000002</v>
          </cell>
          <cell r="L58">
            <v>620</v>
          </cell>
          <cell r="M58">
            <v>26.54</v>
          </cell>
          <cell r="N58">
            <v>0</v>
          </cell>
          <cell r="O58">
            <v>11136</v>
          </cell>
          <cell r="P58">
            <v>11012</v>
          </cell>
          <cell r="Q58">
            <v>11136</v>
          </cell>
        </row>
        <row r="59">
          <cell r="C59">
            <v>2050</v>
          </cell>
          <cell r="D59" t="str">
            <v>Hartley Brook Primary School</v>
          </cell>
          <cell r="E59" t="str">
            <v>Primary</v>
          </cell>
          <cell r="F59" t="str">
            <v>Academy sponsor led</v>
          </cell>
          <cell r="G59" t="str">
            <v>Academy</v>
          </cell>
          <cell r="H59" t="str">
            <v>Rest</v>
          </cell>
          <cell r="I59">
            <v>16.399999999999999</v>
          </cell>
          <cell r="J59">
            <v>727</v>
          </cell>
          <cell r="K59">
            <v>17.760000000000002</v>
          </cell>
          <cell r="L59">
            <v>671</v>
          </cell>
          <cell r="M59">
            <v>26.54</v>
          </cell>
          <cell r="N59">
            <v>0</v>
          </cell>
          <cell r="O59">
            <v>11923</v>
          </cell>
          <cell r="P59">
            <v>11917</v>
          </cell>
          <cell r="Q59">
            <v>11923</v>
          </cell>
        </row>
        <row r="60">
          <cell r="C60">
            <v>2049</v>
          </cell>
          <cell r="D60" t="str">
            <v>Hatfield Academy</v>
          </cell>
          <cell r="E60" t="str">
            <v>Primary</v>
          </cell>
          <cell r="F60" t="str">
            <v>Academy converter</v>
          </cell>
          <cell r="G60" t="str">
            <v>Academy</v>
          </cell>
          <cell r="H60" t="str">
            <v>Rest</v>
          </cell>
          <cell r="I60">
            <v>16.399999999999999</v>
          </cell>
          <cell r="J60">
            <v>417</v>
          </cell>
          <cell r="K60">
            <v>17.760000000000002</v>
          </cell>
          <cell r="L60">
            <v>382</v>
          </cell>
          <cell r="M60">
            <v>26.54</v>
          </cell>
          <cell r="N60">
            <v>0</v>
          </cell>
          <cell r="O60">
            <v>6839</v>
          </cell>
          <cell r="P60">
            <v>6785</v>
          </cell>
          <cell r="Q60">
            <v>6839</v>
          </cell>
        </row>
        <row r="61">
          <cell r="C61">
            <v>2297</v>
          </cell>
          <cell r="D61" t="str">
            <v>High Green Primary School</v>
          </cell>
          <cell r="E61" t="str">
            <v>Primary</v>
          </cell>
          <cell r="F61" t="str">
            <v>Community school</v>
          </cell>
          <cell r="G61" t="str">
            <v>Maintained School</v>
          </cell>
          <cell r="H61" t="str">
            <v>Rest</v>
          </cell>
          <cell r="I61">
            <v>16.399999999999999</v>
          </cell>
          <cell r="J61">
            <v>231</v>
          </cell>
          <cell r="K61">
            <v>17.760000000000002</v>
          </cell>
          <cell r="L61">
            <v>210</v>
          </cell>
          <cell r="M61">
            <v>26.54</v>
          </cell>
          <cell r="N61">
            <v>0</v>
          </cell>
          <cell r="O61">
            <v>3789</v>
          </cell>
          <cell r="P61">
            <v>3730</v>
          </cell>
          <cell r="Q61">
            <v>3789</v>
          </cell>
        </row>
        <row r="62">
          <cell r="C62">
            <v>2042</v>
          </cell>
          <cell r="D62" t="str">
            <v>High Hazels Junior School</v>
          </cell>
          <cell r="E62" t="str">
            <v>Primary</v>
          </cell>
          <cell r="F62" t="str">
            <v>Academy sponsor led</v>
          </cell>
          <cell r="G62" t="str">
            <v>Academy</v>
          </cell>
          <cell r="H62" t="str">
            <v>Rest</v>
          </cell>
          <cell r="I62">
            <v>16.399999999999999</v>
          </cell>
          <cell r="J62">
            <v>354</v>
          </cell>
          <cell r="K62">
            <v>17.760000000000002</v>
          </cell>
          <cell r="L62">
            <v>354</v>
          </cell>
          <cell r="M62">
            <v>26.54</v>
          </cell>
          <cell r="N62">
            <v>0</v>
          </cell>
          <cell r="O62">
            <v>5806</v>
          </cell>
          <cell r="P62">
            <v>6288</v>
          </cell>
          <cell r="Q62">
            <v>6288</v>
          </cell>
        </row>
        <row r="63">
          <cell r="C63">
            <v>2039</v>
          </cell>
          <cell r="D63" t="str">
            <v>High Hazels Nursery Infant Academy</v>
          </cell>
          <cell r="E63" t="str">
            <v>Primary</v>
          </cell>
          <cell r="F63" t="str">
            <v>Academy sponsor led</v>
          </cell>
          <cell r="G63" t="str">
            <v>Academy</v>
          </cell>
          <cell r="H63" t="str">
            <v>Rest</v>
          </cell>
          <cell r="I63">
            <v>16.399999999999999</v>
          </cell>
          <cell r="J63">
            <v>362</v>
          </cell>
          <cell r="K63">
            <v>17.760000000000002</v>
          </cell>
          <cell r="L63">
            <v>313</v>
          </cell>
          <cell r="M63">
            <v>26.54</v>
          </cell>
          <cell r="N63">
            <v>0</v>
          </cell>
          <cell r="O63">
            <v>5937</v>
          </cell>
          <cell r="P63">
            <v>5559</v>
          </cell>
          <cell r="Q63">
            <v>5937</v>
          </cell>
        </row>
        <row r="64">
          <cell r="C64">
            <v>2339</v>
          </cell>
          <cell r="D64" t="str">
            <v>Hillsborough Primary School</v>
          </cell>
          <cell r="E64" t="str">
            <v>Primary</v>
          </cell>
          <cell r="F64" t="str">
            <v>Academy converter</v>
          </cell>
          <cell r="G64" t="str">
            <v>Academy</v>
          </cell>
          <cell r="H64" t="str">
            <v>Rest</v>
          </cell>
          <cell r="I64">
            <v>16.399999999999999</v>
          </cell>
          <cell r="J64">
            <v>443</v>
          </cell>
          <cell r="K64">
            <v>17.760000000000002</v>
          </cell>
          <cell r="L64">
            <v>410</v>
          </cell>
          <cell r="M64">
            <v>26.54</v>
          </cell>
          <cell r="N64">
            <v>0</v>
          </cell>
          <cell r="O64">
            <v>7266</v>
          </cell>
          <cell r="P64">
            <v>7282</v>
          </cell>
          <cell r="Q64">
            <v>7282</v>
          </cell>
        </row>
        <row r="65">
          <cell r="C65">
            <v>2213</v>
          </cell>
          <cell r="D65" t="str">
            <v>Holt House Infant School</v>
          </cell>
          <cell r="E65" t="str">
            <v>Primary</v>
          </cell>
          <cell r="F65" t="str">
            <v>Community school</v>
          </cell>
          <cell r="G65" t="str">
            <v>Maintained School</v>
          </cell>
          <cell r="H65" t="str">
            <v>Rest</v>
          </cell>
          <cell r="I65">
            <v>16.399999999999999</v>
          </cell>
          <cell r="J65">
            <v>217</v>
          </cell>
          <cell r="K65">
            <v>17.760000000000002</v>
          </cell>
          <cell r="L65">
            <v>176</v>
          </cell>
          <cell r="M65">
            <v>26.54</v>
          </cell>
          <cell r="N65">
            <v>0</v>
          </cell>
          <cell r="O65">
            <v>3559</v>
          </cell>
          <cell r="P65">
            <v>3126</v>
          </cell>
          <cell r="Q65">
            <v>3559</v>
          </cell>
        </row>
        <row r="66">
          <cell r="C66">
            <v>2337</v>
          </cell>
          <cell r="D66" t="str">
            <v>Hucklow Primary School</v>
          </cell>
          <cell r="E66" t="str">
            <v>Primary</v>
          </cell>
          <cell r="F66" t="str">
            <v>Academy converter</v>
          </cell>
          <cell r="G66" t="str">
            <v>Academy</v>
          </cell>
          <cell r="H66" t="str">
            <v>Rest</v>
          </cell>
          <cell r="I66">
            <v>16.399999999999999</v>
          </cell>
          <cell r="J66">
            <v>554</v>
          </cell>
          <cell r="K66">
            <v>17.760000000000002</v>
          </cell>
          <cell r="L66">
            <v>521</v>
          </cell>
          <cell r="M66">
            <v>26.54</v>
          </cell>
          <cell r="N66">
            <v>0</v>
          </cell>
          <cell r="O66">
            <v>9086</v>
          </cell>
          <cell r="P66">
            <v>9253</v>
          </cell>
          <cell r="Q66">
            <v>9253</v>
          </cell>
        </row>
        <row r="67">
          <cell r="C67">
            <v>2060</v>
          </cell>
          <cell r="D67" t="str">
            <v>Hunter's Bar Infant School</v>
          </cell>
          <cell r="E67" t="str">
            <v>Primary</v>
          </cell>
          <cell r="F67" t="str">
            <v>Community school</v>
          </cell>
          <cell r="G67" t="str">
            <v>Maintained School</v>
          </cell>
          <cell r="H67" t="str">
            <v>Rest</v>
          </cell>
          <cell r="I67">
            <v>16.399999999999999</v>
          </cell>
          <cell r="J67">
            <v>312</v>
          </cell>
          <cell r="K67">
            <v>17.760000000000002</v>
          </cell>
          <cell r="L67">
            <v>263</v>
          </cell>
          <cell r="M67">
            <v>26.54</v>
          </cell>
          <cell r="N67">
            <v>0</v>
          </cell>
          <cell r="O67">
            <v>5117</v>
          </cell>
          <cell r="P67">
            <v>4671</v>
          </cell>
          <cell r="Q67">
            <v>5117</v>
          </cell>
        </row>
        <row r="68">
          <cell r="C68">
            <v>2058</v>
          </cell>
          <cell r="D68" t="str">
            <v>Hunter's Bar Junior School</v>
          </cell>
          <cell r="E68" t="str">
            <v>Primary</v>
          </cell>
          <cell r="F68" t="str">
            <v>Community school</v>
          </cell>
          <cell r="G68" t="str">
            <v>Maintained School</v>
          </cell>
          <cell r="H68" t="str">
            <v>Rest</v>
          </cell>
          <cell r="I68">
            <v>16.399999999999999</v>
          </cell>
          <cell r="J68">
            <v>357</v>
          </cell>
          <cell r="K68">
            <v>17.760000000000002</v>
          </cell>
          <cell r="L68">
            <v>357</v>
          </cell>
          <cell r="M68">
            <v>26.54</v>
          </cell>
          <cell r="N68">
            <v>0</v>
          </cell>
          <cell r="O68">
            <v>5855</v>
          </cell>
          <cell r="P68">
            <v>6341</v>
          </cell>
          <cell r="Q68">
            <v>6341</v>
          </cell>
        </row>
        <row r="69">
          <cell r="C69">
            <v>2063</v>
          </cell>
          <cell r="D69" t="str">
            <v>Intake Primary School</v>
          </cell>
          <cell r="E69" t="str">
            <v>Primary</v>
          </cell>
          <cell r="F69" t="str">
            <v>Foundation school</v>
          </cell>
          <cell r="G69" t="str">
            <v>Maintained School</v>
          </cell>
          <cell r="H69" t="str">
            <v>Rest</v>
          </cell>
          <cell r="I69">
            <v>16.399999999999999</v>
          </cell>
          <cell r="J69">
            <v>451</v>
          </cell>
          <cell r="K69">
            <v>17.760000000000002</v>
          </cell>
          <cell r="L69">
            <v>414</v>
          </cell>
          <cell r="M69">
            <v>26.54</v>
          </cell>
          <cell r="N69">
            <v>0</v>
          </cell>
          <cell r="O69">
            <v>7397</v>
          </cell>
          <cell r="P69">
            <v>7353</v>
          </cell>
          <cell r="Q69">
            <v>7397</v>
          </cell>
        </row>
        <row r="70">
          <cell r="C70">
            <v>2261</v>
          </cell>
          <cell r="D70" t="str">
            <v>Limpsfield Junior School</v>
          </cell>
          <cell r="E70" t="str">
            <v>Primary</v>
          </cell>
          <cell r="F70" t="str">
            <v>Community school</v>
          </cell>
          <cell r="G70" t="str">
            <v>Maintained School</v>
          </cell>
          <cell r="H70" t="str">
            <v>Rest</v>
          </cell>
          <cell r="I70">
            <v>16.399999999999999</v>
          </cell>
          <cell r="J70">
            <v>230</v>
          </cell>
          <cell r="K70">
            <v>17.760000000000002</v>
          </cell>
          <cell r="L70">
            <v>230</v>
          </cell>
          <cell r="M70">
            <v>26.54</v>
          </cell>
          <cell r="N70">
            <v>0</v>
          </cell>
          <cell r="O70">
            <v>3772</v>
          </cell>
          <cell r="P70">
            <v>4085</v>
          </cell>
          <cell r="Q70">
            <v>4085</v>
          </cell>
        </row>
        <row r="71">
          <cell r="C71">
            <v>2315</v>
          </cell>
          <cell r="D71" t="str">
            <v>Lound Infant School</v>
          </cell>
          <cell r="E71" t="str">
            <v>Primary</v>
          </cell>
          <cell r="F71" t="str">
            <v>Academy converter</v>
          </cell>
          <cell r="G71" t="str">
            <v>Academy</v>
          </cell>
          <cell r="H71" t="str">
            <v>Rest</v>
          </cell>
          <cell r="I71">
            <v>16.399999999999999</v>
          </cell>
          <cell r="J71">
            <v>192</v>
          </cell>
          <cell r="K71">
            <v>17.760000000000002</v>
          </cell>
          <cell r="L71">
            <v>159</v>
          </cell>
          <cell r="M71">
            <v>26.54</v>
          </cell>
          <cell r="N71">
            <v>0</v>
          </cell>
          <cell r="O71">
            <v>3149</v>
          </cell>
          <cell r="P71">
            <v>2824</v>
          </cell>
          <cell r="Q71">
            <v>3149</v>
          </cell>
        </row>
        <row r="72">
          <cell r="C72">
            <v>2298</v>
          </cell>
          <cell r="D72" t="str">
            <v>Lound Junior School</v>
          </cell>
          <cell r="E72" t="str">
            <v>Primary</v>
          </cell>
          <cell r="F72" t="str">
            <v>Academy converter</v>
          </cell>
          <cell r="G72" t="str">
            <v>Academy</v>
          </cell>
          <cell r="H72" t="str">
            <v>Rest</v>
          </cell>
          <cell r="I72">
            <v>16.399999999999999</v>
          </cell>
          <cell r="J72">
            <v>237</v>
          </cell>
          <cell r="K72">
            <v>17.760000000000002</v>
          </cell>
          <cell r="L72">
            <v>237</v>
          </cell>
          <cell r="M72">
            <v>26.54</v>
          </cell>
          <cell r="N72">
            <v>0</v>
          </cell>
          <cell r="O72">
            <v>3887</v>
          </cell>
          <cell r="P72">
            <v>4210</v>
          </cell>
          <cell r="Q72">
            <v>4210</v>
          </cell>
        </row>
        <row r="73">
          <cell r="C73">
            <v>2029</v>
          </cell>
          <cell r="D73" t="str">
            <v>Lowedges Junior Academy</v>
          </cell>
          <cell r="E73" t="str">
            <v>Primary</v>
          </cell>
          <cell r="F73" t="str">
            <v>Academy sponsor led</v>
          </cell>
          <cell r="G73" t="str">
            <v>Academy</v>
          </cell>
          <cell r="H73" t="str">
            <v>Rest</v>
          </cell>
          <cell r="I73">
            <v>16.399999999999999</v>
          </cell>
          <cell r="J73">
            <v>371</v>
          </cell>
          <cell r="K73">
            <v>17.760000000000002</v>
          </cell>
          <cell r="L73">
            <v>349</v>
          </cell>
          <cell r="M73">
            <v>26.54</v>
          </cell>
          <cell r="N73">
            <v>0</v>
          </cell>
          <cell r="O73">
            <v>6085</v>
          </cell>
          <cell r="P73">
            <v>6199</v>
          </cell>
          <cell r="Q73">
            <v>6199</v>
          </cell>
        </row>
        <row r="74">
          <cell r="C74">
            <v>2045</v>
          </cell>
          <cell r="D74" t="str">
            <v>Lower Meadow Primary School</v>
          </cell>
          <cell r="E74" t="str">
            <v>Primary</v>
          </cell>
          <cell r="F74" t="str">
            <v>Academy sponsor led</v>
          </cell>
          <cell r="G74" t="str">
            <v>Academy</v>
          </cell>
          <cell r="H74" t="str">
            <v>Rest</v>
          </cell>
          <cell r="I74">
            <v>16.399999999999999</v>
          </cell>
          <cell r="J74">
            <v>309</v>
          </cell>
          <cell r="K74">
            <v>17.760000000000002</v>
          </cell>
          <cell r="L74">
            <v>288</v>
          </cell>
          <cell r="M74">
            <v>26.54</v>
          </cell>
          <cell r="N74">
            <v>0</v>
          </cell>
          <cell r="O74">
            <v>5068</v>
          </cell>
          <cell r="P74">
            <v>5115</v>
          </cell>
          <cell r="Q74">
            <v>5115</v>
          </cell>
        </row>
        <row r="75">
          <cell r="C75">
            <v>2070</v>
          </cell>
          <cell r="D75" t="str">
            <v>Lowfield Community Primary School</v>
          </cell>
          <cell r="E75" t="str">
            <v>Primary</v>
          </cell>
          <cell r="F75" t="str">
            <v>Community school</v>
          </cell>
          <cell r="G75" t="str">
            <v>Maintained School</v>
          </cell>
          <cell r="H75" t="str">
            <v>Rest</v>
          </cell>
          <cell r="I75">
            <v>16.399999999999999</v>
          </cell>
          <cell r="J75">
            <v>388</v>
          </cell>
          <cell r="K75">
            <v>17.760000000000002</v>
          </cell>
          <cell r="L75">
            <v>357</v>
          </cell>
          <cell r="M75">
            <v>26.54</v>
          </cell>
          <cell r="N75">
            <v>0</v>
          </cell>
          <cell r="O75">
            <v>6364</v>
          </cell>
          <cell r="P75">
            <v>6341</v>
          </cell>
          <cell r="Q75">
            <v>6364</v>
          </cell>
        </row>
        <row r="76">
          <cell r="C76">
            <v>2292</v>
          </cell>
          <cell r="D76" t="str">
            <v>Loxley Primary School</v>
          </cell>
          <cell r="E76" t="str">
            <v>Primary</v>
          </cell>
          <cell r="F76" t="str">
            <v>Community school</v>
          </cell>
          <cell r="G76" t="str">
            <v>Maintained School</v>
          </cell>
          <cell r="H76" t="str">
            <v>Rest</v>
          </cell>
          <cell r="I76">
            <v>16.399999999999999</v>
          </cell>
          <cell r="J76">
            <v>225</v>
          </cell>
          <cell r="K76">
            <v>17.760000000000002</v>
          </cell>
          <cell r="L76">
            <v>210</v>
          </cell>
          <cell r="M76">
            <v>26.54</v>
          </cell>
          <cell r="N76">
            <v>0</v>
          </cell>
          <cell r="O76">
            <v>3690</v>
          </cell>
          <cell r="P76">
            <v>3730</v>
          </cell>
          <cell r="Q76">
            <v>3730</v>
          </cell>
        </row>
        <row r="77">
          <cell r="C77">
            <v>2072</v>
          </cell>
          <cell r="D77" t="str">
            <v>Lydgate Infant School</v>
          </cell>
          <cell r="E77" t="str">
            <v>Primary</v>
          </cell>
          <cell r="F77" t="str">
            <v>Community school</v>
          </cell>
          <cell r="G77" t="str">
            <v>Maintained School</v>
          </cell>
          <cell r="H77" t="str">
            <v>Rest</v>
          </cell>
          <cell r="I77">
            <v>16.399999999999999</v>
          </cell>
          <cell r="J77">
            <v>434</v>
          </cell>
          <cell r="K77">
            <v>17.760000000000002</v>
          </cell>
          <cell r="L77">
            <v>356</v>
          </cell>
          <cell r="M77">
            <v>26.54</v>
          </cell>
          <cell r="N77">
            <v>0</v>
          </cell>
          <cell r="O77">
            <v>7118</v>
          </cell>
          <cell r="P77">
            <v>6323</v>
          </cell>
          <cell r="Q77">
            <v>7118</v>
          </cell>
        </row>
        <row r="78">
          <cell r="C78">
            <v>2071</v>
          </cell>
          <cell r="D78" t="str">
            <v>Lydgate Junior School</v>
          </cell>
          <cell r="E78" t="str">
            <v>Primary</v>
          </cell>
          <cell r="F78" t="str">
            <v>Community school</v>
          </cell>
          <cell r="G78" t="str">
            <v>Maintained School</v>
          </cell>
          <cell r="H78" t="str">
            <v>Rest</v>
          </cell>
          <cell r="I78">
            <v>16.399999999999999</v>
          </cell>
          <cell r="J78">
            <v>477</v>
          </cell>
          <cell r="K78">
            <v>17.760000000000002</v>
          </cell>
          <cell r="L78">
            <v>477</v>
          </cell>
          <cell r="M78">
            <v>26.54</v>
          </cell>
          <cell r="N78">
            <v>0</v>
          </cell>
          <cell r="O78">
            <v>7823</v>
          </cell>
          <cell r="P78">
            <v>8472</v>
          </cell>
          <cell r="Q78">
            <v>8472</v>
          </cell>
        </row>
        <row r="79">
          <cell r="C79">
            <v>2358</v>
          </cell>
          <cell r="D79" t="str">
            <v>Malin Bridge Primary School</v>
          </cell>
          <cell r="E79" t="str">
            <v>Primary</v>
          </cell>
          <cell r="F79" t="str">
            <v>Community school</v>
          </cell>
          <cell r="G79" t="str">
            <v>Maintained School</v>
          </cell>
          <cell r="H79" t="str">
            <v>Rest</v>
          </cell>
          <cell r="I79">
            <v>16.399999999999999</v>
          </cell>
          <cell r="J79">
            <v>655</v>
          </cell>
          <cell r="K79">
            <v>17.760000000000002</v>
          </cell>
          <cell r="L79">
            <v>597</v>
          </cell>
          <cell r="M79">
            <v>26.54</v>
          </cell>
          <cell r="N79">
            <v>0</v>
          </cell>
          <cell r="O79">
            <v>10742</v>
          </cell>
          <cell r="P79">
            <v>10603</v>
          </cell>
          <cell r="Q79">
            <v>10742</v>
          </cell>
        </row>
        <row r="80">
          <cell r="C80">
            <v>2359</v>
          </cell>
          <cell r="D80" t="str">
            <v>Manor Lodge Community Primary and Nursery School</v>
          </cell>
          <cell r="E80" t="str">
            <v>Primary</v>
          </cell>
          <cell r="F80" t="str">
            <v>Academy converter</v>
          </cell>
          <cell r="G80" t="str">
            <v>Academy</v>
          </cell>
          <cell r="H80" t="str">
            <v>Rest</v>
          </cell>
          <cell r="I80">
            <v>16.399999999999999</v>
          </cell>
          <cell r="J80">
            <v>349</v>
          </cell>
          <cell r="K80">
            <v>17.760000000000002</v>
          </cell>
          <cell r="L80">
            <v>316</v>
          </cell>
          <cell r="M80">
            <v>26.54</v>
          </cell>
          <cell r="N80">
            <v>0</v>
          </cell>
          <cell r="O80">
            <v>5724</v>
          </cell>
          <cell r="P80">
            <v>5613</v>
          </cell>
          <cell r="Q80">
            <v>5724</v>
          </cell>
        </row>
        <row r="81">
          <cell r="C81">
            <v>2012</v>
          </cell>
          <cell r="D81" t="str">
            <v>Mansel Primary</v>
          </cell>
          <cell r="E81" t="str">
            <v>Primary</v>
          </cell>
          <cell r="F81" t="str">
            <v>Academy sponsor led</v>
          </cell>
          <cell r="G81" t="str">
            <v>Academy</v>
          </cell>
          <cell r="H81" t="str">
            <v>Rest</v>
          </cell>
          <cell r="I81">
            <v>16.399999999999999</v>
          </cell>
          <cell r="J81">
            <v>487</v>
          </cell>
          <cell r="K81">
            <v>17.760000000000002</v>
          </cell>
          <cell r="L81">
            <v>450</v>
          </cell>
          <cell r="M81">
            <v>26.54</v>
          </cell>
          <cell r="N81">
            <v>0</v>
          </cell>
          <cell r="O81">
            <v>7987</v>
          </cell>
          <cell r="P81">
            <v>7992</v>
          </cell>
          <cell r="Q81">
            <v>7992</v>
          </cell>
        </row>
        <row r="82">
          <cell r="C82">
            <v>2079</v>
          </cell>
          <cell r="D82" t="str">
            <v>Marlcliffe Community Primary School</v>
          </cell>
          <cell r="E82" t="str">
            <v>Primary</v>
          </cell>
          <cell r="F82" t="str">
            <v>Community school</v>
          </cell>
          <cell r="G82" t="str">
            <v>Maintained School</v>
          </cell>
          <cell r="H82" t="str">
            <v>Rest</v>
          </cell>
          <cell r="I82">
            <v>16.399999999999999</v>
          </cell>
          <cell r="J82">
            <v>552</v>
          </cell>
          <cell r="K82">
            <v>17.760000000000002</v>
          </cell>
          <cell r="L82">
            <v>508</v>
          </cell>
          <cell r="M82">
            <v>26.54</v>
          </cell>
          <cell r="N82">
            <v>0</v>
          </cell>
          <cell r="O82">
            <v>9053</v>
          </cell>
          <cell r="P82">
            <v>9023</v>
          </cell>
          <cell r="Q82">
            <v>9053</v>
          </cell>
        </row>
        <row r="83">
          <cell r="C83">
            <v>2081</v>
          </cell>
          <cell r="D83" t="str">
            <v>Meersbrook Bank Primary School</v>
          </cell>
          <cell r="E83" t="str">
            <v>Primary</v>
          </cell>
          <cell r="F83" t="str">
            <v>Community school</v>
          </cell>
          <cell r="G83" t="str">
            <v>Maintained School</v>
          </cell>
          <cell r="H83" t="str">
            <v>Rest</v>
          </cell>
          <cell r="I83">
            <v>16.399999999999999</v>
          </cell>
          <cell r="J83">
            <v>263</v>
          </cell>
          <cell r="K83">
            <v>17.760000000000002</v>
          </cell>
          <cell r="L83">
            <v>247</v>
          </cell>
          <cell r="M83">
            <v>26.54</v>
          </cell>
          <cell r="N83">
            <v>0</v>
          </cell>
          <cell r="O83">
            <v>4314</v>
          </cell>
          <cell r="P83">
            <v>4387</v>
          </cell>
          <cell r="Q83">
            <v>4387</v>
          </cell>
        </row>
        <row r="84">
          <cell r="C84">
            <v>2013</v>
          </cell>
          <cell r="D84" t="str">
            <v>Meynell Community Primary School</v>
          </cell>
          <cell r="E84" t="str">
            <v>Primary</v>
          </cell>
          <cell r="F84" t="str">
            <v>Academy sponsor led</v>
          </cell>
          <cell r="G84" t="str">
            <v>Academy</v>
          </cell>
          <cell r="H84" t="str">
            <v>Rest</v>
          </cell>
          <cell r="I84">
            <v>16.399999999999999</v>
          </cell>
          <cell r="J84">
            <v>534</v>
          </cell>
          <cell r="K84">
            <v>17.760000000000002</v>
          </cell>
          <cell r="L84">
            <v>506</v>
          </cell>
          <cell r="M84">
            <v>26.54</v>
          </cell>
          <cell r="N84">
            <v>0</v>
          </cell>
          <cell r="O84">
            <v>8758</v>
          </cell>
          <cell r="P84">
            <v>8987</v>
          </cell>
          <cell r="Q84">
            <v>8987</v>
          </cell>
        </row>
        <row r="85">
          <cell r="C85">
            <v>2346</v>
          </cell>
          <cell r="D85" t="str">
            <v>Monteney Primary School</v>
          </cell>
          <cell r="E85" t="str">
            <v>Primary</v>
          </cell>
          <cell r="F85" t="str">
            <v>Academy converter</v>
          </cell>
          <cell r="G85" t="str">
            <v>Academy</v>
          </cell>
          <cell r="H85" t="str">
            <v>Rest</v>
          </cell>
          <cell r="I85">
            <v>16.399999999999999</v>
          </cell>
          <cell r="J85">
            <v>504</v>
          </cell>
          <cell r="K85">
            <v>17.760000000000002</v>
          </cell>
          <cell r="L85">
            <v>465</v>
          </cell>
          <cell r="M85">
            <v>26.54</v>
          </cell>
          <cell r="N85">
            <v>0</v>
          </cell>
          <cell r="O85">
            <v>8266</v>
          </cell>
          <cell r="P85">
            <v>8259</v>
          </cell>
          <cell r="Q85">
            <v>8266</v>
          </cell>
        </row>
        <row r="86">
          <cell r="C86">
            <v>2257</v>
          </cell>
          <cell r="D86" t="str">
            <v>Mosborough Primary School</v>
          </cell>
          <cell r="E86" t="str">
            <v>Primary</v>
          </cell>
          <cell r="F86" t="str">
            <v>Community school</v>
          </cell>
          <cell r="G86" t="str">
            <v>Maintained School</v>
          </cell>
          <cell r="H86" t="str">
            <v>Rest</v>
          </cell>
          <cell r="I86">
            <v>16.399999999999999</v>
          </cell>
          <cell r="J86">
            <v>454</v>
          </cell>
          <cell r="K86">
            <v>17.760000000000002</v>
          </cell>
          <cell r="L86">
            <v>411</v>
          </cell>
          <cell r="M86">
            <v>26.54</v>
          </cell>
          <cell r="N86">
            <v>0</v>
          </cell>
          <cell r="O86">
            <v>7446</v>
          </cell>
          <cell r="P86">
            <v>7300</v>
          </cell>
          <cell r="Q86">
            <v>7446</v>
          </cell>
        </row>
        <row r="87">
          <cell r="C87">
            <v>2092</v>
          </cell>
          <cell r="D87" t="str">
            <v>Mundella Primary School</v>
          </cell>
          <cell r="E87" t="str">
            <v>Primary</v>
          </cell>
          <cell r="F87" t="str">
            <v>Community school</v>
          </cell>
          <cell r="G87" t="str">
            <v>Maintained School</v>
          </cell>
          <cell r="H87" t="str">
            <v>Rest</v>
          </cell>
          <cell r="I87">
            <v>16.399999999999999</v>
          </cell>
          <cell r="J87">
            <v>437</v>
          </cell>
          <cell r="K87">
            <v>17.760000000000002</v>
          </cell>
          <cell r="L87">
            <v>405</v>
          </cell>
          <cell r="M87">
            <v>26.54</v>
          </cell>
          <cell r="N87">
            <v>0</v>
          </cell>
          <cell r="O87">
            <v>7167</v>
          </cell>
          <cell r="P87">
            <v>7193</v>
          </cell>
          <cell r="Q87">
            <v>7193</v>
          </cell>
        </row>
        <row r="88">
          <cell r="C88">
            <v>2002</v>
          </cell>
          <cell r="D88" t="str">
            <v>Nether Edge Primary School</v>
          </cell>
          <cell r="E88" t="str">
            <v>Primary</v>
          </cell>
          <cell r="F88" t="str">
            <v>Academy converter</v>
          </cell>
          <cell r="G88" t="str">
            <v>Academy</v>
          </cell>
          <cell r="H88" t="str">
            <v>Rest</v>
          </cell>
          <cell r="I88">
            <v>16.399999999999999</v>
          </cell>
          <cell r="J88">
            <v>467</v>
          </cell>
          <cell r="K88">
            <v>17.760000000000002</v>
          </cell>
          <cell r="L88">
            <v>437</v>
          </cell>
          <cell r="M88">
            <v>26.54</v>
          </cell>
          <cell r="N88">
            <v>0</v>
          </cell>
          <cell r="O88">
            <v>7659</v>
          </cell>
          <cell r="P88">
            <v>7762</v>
          </cell>
          <cell r="Q88">
            <v>7762</v>
          </cell>
        </row>
        <row r="89">
          <cell r="C89">
            <v>2221</v>
          </cell>
          <cell r="D89" t="str">
            <v>Nether Green Infant School</v>
          </cell>
          <cell r="E89" t="str">
            <v>Primary</v>
          </cell>
          <cell r="F89" t="str">
            <v>Community school</v>
          </cell>
          <cell r="G89" t="str">
            <v>Maintained School</v>
          </cell>
          <cell r="H89" t="str">
            <v>Rest</v>
          </cell>
          <cell r="I89">
            <v>16.399999999999999</v>
          </cell>
          <cell r="J89">
            <v>255</v>
          </cell>
          <cell r="K89">
            <v>17.760000000000002</v>
          </cell>
          <cell r="L89">
            <v>208</v>
          </cell>
          <cell r="M89">
            <v>26.54</v>
          </cell>
          <cell r="N89">
            <v>0</v>
          </cell>
          <cell r="O89">
            <v>4182</v>
          </cell>
          <cell r="P89">
            <v>3695</v>
          </cell>
          <cell r="Q89">
            <v>4182</v>
          </cell>
        </row>
        <row r="90">
          <cell r="C90">
            <v>2087</v>
          </cell>
          <cell r="D90" t="str">
            <v>Nether Green Junior School</v>
          </cell>
          <cell r="E90" t="str">
            <v>Primary</v>
          </cell>
          <cell r="F90" t="str">
            <v>Community school</v>
          </cell>
          <cell r="G90" t="str">
            <v>Maintained School</v>
          </cell>
          <cell r="H90" t="str">
            <v>Rest</v>
          </cell>
          <cell r="I90">
            <v>16.399999999999999</v>
          </cell>
          <cell r="J90">
            <v>380</v>
          </cell>
          <cell r="K90">
            <v>17.760000000000002</v>
          </cell>
          <cell r="L90">
            <v>380</v>
          </cell>
          <cell r="M90">
            <v>26.54</v>
          </cell>
          <cell r="N90">
            <v>0</v>
          </cell>
          <cell r="O90">
            <v>6232</v>
          </cell>
          <cell r="P90">
            <v>6749</v>
          </cell>
          <cell r="Q90">
            <v>6749</v>
          </cell>
        </row>
        <row r="91">
          <cell r="C91">
            <v>2272</v>
          </cell>
          <cell r="D91" t="str">
            <v>Netherthorpe Primary School</v>
          </cell>
          <cell r="E91" t="str">
            <v>Primary</v>
          </cell>
          <cell r="F91" t="str">
            <v>Community school</v>
          </cell>
          <cell r="G91" t="str">
            <v>Maintained School</v>
          </cell>
          <cell r="H91" t="str">
            <v>Rest</v>
          </cell>
          <cell r="I91">
            <v>16.399999999999999</v>
          </cell>
          <cell r="J91">
            <v>275</v>
          </cell>
          <cell r="K91">
            <v>17.760000000000002</v>
          </cell>
          <cell r="L91">
            <v>255</v>
          </cell>
          <cell r="M91">
            <v>26.54</v>
          </cell>
          <cell r="N91">
            <v>0</v>
          </cell>
          <cell r="O91">
            <v>4510</v>
          </cell>
          <cell r="P91">
            <v>4529</v>
          </cell>
          <cell r="Q91">
            <v>4529</v>
          </cell>
        </row>
        <row r="92">
          <cell r="C92">
            <v>2309</v>
          </cell>
          <cell r="D92" t="str">
            <v>Nook Lane Junior School</v>
          </cell>
          <cell r="E92" t="str">
            <v>Primary</v>
          </cell>
          <cell r="F92" t="str">
            <v>Community school</v>
          </cell>
          <cell r="G92" t="str">
            <v>Maintained School</v>
          </cell>
          <cell r="H92" t="str">
            <v>Rest</v>
          </cell>
          <cell r="I92">
            <v>16.399999999999999</v>
          </cell>
          <cell r="J92">
            <v>247</v>
          </cell>
          <cell r="K92">
            <v>17.760000000000002</v>
          </cell>
          <cell r="L92">
            <v>247</v>
          </cell>
          <cell r="M92">
            <v>26.54</v>
          </cell>
          <cell r="N92">
            <v>0</v>
          </cell>
          <cell r="O92">
            <v>4051</v>
          </cell>
          <cell r="P92">
            <v>4387</v>
          </cell>
          <cell r="Q92">
            <v>4387</v>
          </cell>
        </row>
        <row r="93">
          <cell r="C93">
            <v>2051</v>
          </cell>
          <cell r="D93" t="str">
            <v>Norfolk Community Primary School</v>
          </cell>
          <cell r="E93" t="str">
            <v>Primary</v>
          </cell>
          <cell r="F93" t="str">
            <v>Academy sponsor led</v>
          </cell>
          <cell r="G93" t="str">
            <v>Academy</v>
          </cell>
          <cell r="H93" t="str">
            <v>Rest</v>
          </cell>
          <cell r="I93">
            <v>16.399999999999999</v>
          </cell>
          <cell r="J93">
            <v>504</v>
          </cell>
          <cell r="K93">
            <v>17.760000000000002</v>
          </cell>
          <cell r="L93">
            <v>463</v>
          </cell>
          <cell r="M93">
            <v>26.54</v>
          </cell>
          <cell r="N93">
            <v>0</v>
          </cell>
          <cell r="O93">
            <v>8266</v>
          </cell>
          <cell r="P93">
            <v>8223</v>
          </cell>
          <cell r="Q93">
            <v>8266</v>
          </cell>
        </row>
        <row r="94">
          <cell r="C94">
            <v>3010</v>
          </cell>
          <cell r="D94" t="str">
            <v>Norton Free Church of England Primary School</v>
          </cell>
          <cell r="E94" t="str">
            <v>Primary</v>
          </cell>
          <cell r="F94" t="str">
            <v>Voluntary controlled school</v>
          </cell>
          <cell r="G94" t="str">
            <v>Maintained School</v>
          </cell>
          <cell r="H94" t="str">
            <v>Rest</v>
          </cell>
          <cell r="I94">
            <v>16.399999999999999</v>
          </cell>
          <cell r="J94">
            <v>232</v>
          </cell>
          <cell r="K94">
            <v>17.760000000000002</v>
          </cell>
          <cell r="L94">
            <v>214</v>
          </cell>
          <cell r="M94">
            <v>26.54</v>
          </cell>
          <cell r="N94">
            <v>0</v>
          </cell>
          <cell r="O94">
            <v>3805</v>
          </cell>
          <cell r="P94">
            <v>3801</v>
          </cell>
          <cell r="Q94">
            <v>3805</v>
          </cell>
        </row>
        <row r="95">
          <cell r="C95">
            <v>2018</v>
          </cell>
          <cell r="D95" t="str">
            <v>Oasis Academy Fir Vale</v>
          </cell>
          <cell r="E95" t="str">
            <v>Primary</v>
          </cell>
          <cell r="F95" t="str">
            <v>Academy sponsor led</v>
          </cell>
          <cell r="G95" t="str">
            <v>Academy</v>
          </cell>
          <cell r="H95" t="str">
            <v>Rest</v>
          </cell>
          <cell r="I95">
            <v>16.399999999999999</v>
          </cell>
          <cell r="J95">
            <v>370</v>
          </cell>
          <cell r="K95">
            <v>17.760000000000002</v>
          </cell>
          <cell r="L95">
            <v>333</v>
          </cell>
          <cell r="M95">
            <v>26.54</v>
          </cell>
          <cell r="N95">
            <v>0</v>
          </cell>
          <cell r="O95">
            <v>6068</v>
          </cell>
          <cell r="P95">
            <v>5915</v>
          </cell>
          <cell r="Q95">
            <v>6068</v>
          </cell>
        </row>
        <row r="96">
          <cell r="C96">
            <v>2019</v>
          </cell>
          <cell r="D96" t="str">
            <v>Oasis Academy Watermead</v>
          </cell>
          <cell r="E96" t="str">
            <v>Primary</v>
          </cell>
          <cell r="F96" t="str">
            <v>Academy sponsor led</v>
          </cell>
          <cell r="G96" t="str">
            <v>Academy</v>
          </cell>
          <cell r="H96" t="str">
            <v>Rest</v>
          </cell>
          <cell r="I96">
            <v>16.399999999999999</v>
          </cell>
          <cell r="J96">
            <v>318</v>
          </cell>
          <cell r="K96">
            <v>17.760000000000002</v>
          </cell>
          <cell r="L96">
            <v>294</v>
          </cell>
          <cell r="M96">
            <v>26.54</v>
          </cell>
          <cell r="N96">
            <v>0</v>
          </cell>
          <cell r="O96">
            <v>5216</v>
          </cell>
          <cell r="P96">
            <v>5222</v>
          </cell>
          <cell r="Q96">
            <v>5222</v>
          </cell>
        </row>
        <row r="97">
          <cell r="C97">
            <v>2313</v>
          </cell>
          <cell r="D97" t="str">
            <v>Oughtibridge Primary School</v>
          </cell>
          <cell r="E97" t="str">
            <v>Primary</v>
          </cell>
          <cell r="F97" t="str">
            <v>Community school</v>
          </cell>
          <cell r="G97" t="str">
            <v>Maintained School</v>
          </cell>
          <cell r="H97" t="str">
            <v>Rest</v>
          </cell>
          <cell r="I97">
            <v>16.399999999999999</v>
          </cell>
          <cell r="J97">
            <v>447</v>
          </cell>
          <cell r="K97">
            <v>17.760000000000002</v>
          </cell>
          <cell r="L97">
            <v>411</v>
          </cell>
          <cell r="M97">
            <v>26.54</v>
          </cell>
          <cell r="N97">
            <v>0</v>
          </cell>
          <cell r="O97">
            <v>7331</v>
          </cell>
          <cell r="P97">
            <v>7300</v>
          </cell>
          <cell r="Q97">
            <v>7331</v>
          </cell>
        </row>
        <row r="98">
          <cell r="C98">
            <v>2093</v>
          </cell>
          <cell r="D98" t="str">
            <v>Owler Brook Primary School</v>
          </cell>
          <cell r="E98" t="str">
            <v>Primary</v>
          </cell>
          <cell r="F98" t="str">
            <v>Community school</v>
          </cell>
          <cell r="G98" t="str">
            <v>Maintained School</v>
          </cell>
          <cell r="H98" t="str">
            <v>Rest</v>
          </cell>
          <cell r="I98">
            <v>16.399999999999999</v>
          </cell>
          <cell r="J98">
            <v>559</v>
          </cell>
          <cell r="K98">
            <v>17.760000000000002</v>
          </cell>
          <cell r="L98">
            <v>519</v>
          </cell>
          <cell r="M98">
            <v>26.54</v>
          </cell>
          <cell r="N98">
            <v>0</v>
          </cell>
          <cell r="O98">
            <v>9168</v>
          </cell>
          <cell r="P98">
            <v>9218</v>
          </cell>
          <cell r="Q98">
            <v>9218</v>
          </cell>
        </row>
        <row r="99">
          <cell r="C99">
            <v>3428</v>
          </cell>
          <cell r="D99" t="str">
            <v>Parson Cross Church of England Primary School</v>
          </cell>
          <cell r="E99" t="str">
            <v>Primary</v>
          </cell>
          <cell r="F99" t="str">
            <v>Voluntary aided school</v>
          </cell>
          <cell r="G99" t="str">
            <v>Maintained School</v>
          </cell>
          <cell r="H99" t="str">
            <v>Rest</v>
          </cell>
          <cell r="I99">
            <v>16.399999999999999</v>
          </cell>
          <cell r="J99">
            <v>225</v>
          </cell>
          <cell r="K99">
            <v>17.760000000000002</v>
          </cell>
          <cell r="L99">
            <v>208</v>
          </cell>
          <cell r="M99">
            <v>26.54</v>
          </cell>
          <cell r="N99">
            <v>0</v>
          </cell>
          <cell r="O99">
            <v>3690</v>
          </cell>
          <cell r="P99">
            <v>3695</v>
          </cell>
          <cell r="Q99">
            <v>3695</v>
          </cell>
        </row>
        <row r="100">
          <cell r="C100">
            <v>2016</v>
          </cell>
          <cell r="D100" t="str">
            <v>Pathways E-Act Primary Academy</v>
          </cell>
          <cell r="E100" t="str">
            <v>Primary</v>
          </cell>
          <cell r="F100" t="str">
            <v>Academy sponsor led</v>
          </cell>
          <cell r="G100" t="str">
            <v>Academy</v>
          </cell>
          <cell r="H100" t="str">
            <v>Rest</v>
          </cell>
          <cell r="I100">
            <v>16.399999999999999</v>
          </cell>
          <cell r="J100">
            <v>520</v>
          </cell>
          <cell r="K100">
            <v>17.760000000000002</v>
          </cell>
          <cell r="L100">
            <v>479</v>
          </cell>
          <cell r="M100">
            <v>26.54</v>
          </cell>
          <cell r="N100">
            <v>0</v>
          </cell>
          <cell r="O100">
            <v>8528</v>
          </cell>
          <cell r="P100">
            <v>8508</v>
          </cell>
          <cell r="Q100">
            <v>8528</v>
          </cell>
        </row>
        <row r="101">
          <cell r="C101">
            <v>2332</v>
          </cell>
          <cell r="D101" t="str">
            <v>Phillimore Community Primary School</v>
          </cell>
          <cell r="E101" t="str">
            <v>Primary</v>
          </cell>
          <cell r="F101" t="str">
            <v>Academy converter</v>
          </cell>
          <cell r="G101" t="str">
            <v>Academy</v>
          </cell>
          <cell r="H101" t="str">
            <v>Rest</v>
          </cell>
          <cell r="I101">
            <v>16.399999999999999</v>
          </cell>
          <cell r="J101">
            <v>481</v>
          </cell>
          <cell r="K101">
            <v>17.760000000000002</v>
          </cell>
          <cell r="L101">
            <v>450</v>
          </cell>
          <cell r="M101">
            <v>26.54</v>
          </cell>
          <cell r="N101">
            <v>0</v>
          </cell>
          <cell r="O101">
            <v>7889</v>
          </cell>
          <cell r="P101">
            <v>7992</v>
          </cell>
          <cell r="Q101">
            <v>7992</v>
          </cell>
        </row>
        <row r="102">
          <cell r="C102">
            <v>3433</v>
          </cell>
          <cell r="D102" t="str">
            <v>Pipworth Community Primary School</v>
          </cell>
          <cell r="E102" t="str">
            <v>Primary</v>
          </cell>
          <cell r="F102" t="str">
            <v>Community school</v>
          </cell>
          <cell r="G102" t="str">
            <v>Maintained School</v>
          </cell>
          <cell r="H102" t="str">
            <v>Rest</v>
          </cell>
          <cell r="I102">
            <v>16.399999999999999</v>
          </cell>
          <cell r="J102">
            <v>465</v>
          </cell>
          <cell r="K102">
            <v>17.760000000000002</v>
          </cell>
          <cell r="L102">
            <v>432</v>
          </cell>
          <cell r="M102">
            <v>26.54</v>
          </cell>
          <cell r="N102">
            <v>0</v>
          </cell>
          <cell r="O102">
            <v>7626</v>
          </cell>
          <cell r="P102">
            <v>7673</v>
          </cell>
          <cell r="Q102">
            <v>7673</v>
          </cell>
        </row>
        <row r="103">
          <cell r="C103">
            <v>3427</v>
          </cell>
          <cell r="D103" t="str">
            <v>Porter Croft Church of England Primary Academy</v>
          </cell>
          <cell r="E103" t="str">
            <v>Primary</v>
          </cell>
          <cell r="F103" t="str">
            <v>Academy converter</v>
          </cell>
          <cell r="G103" t="str">
            <v>Academy</v>
          </cell>
          <cell r="H103" t="str">
            <v>Rest</v>
          </cell>
          <cell r="I103">
            <v>16.399999999999999</v>
          </cell>
          <cell r="J103">
            <v>219</v>
          </cell>
          <cell r="K103">
            <v>17.760000000000002</v>
          </cell>
          <cell r="L103">
            <v>208</v>
          </cell>
          <cell r="M103">
            <v>26.54</v>
          </cell>
          <cell r="N103">
            <v>0</v>
          </cell>
          <cell r="O103">
            <v>3592</v>
          </cell>
          <cell r="P103">
            <v>3695</v>
          </cell>
          <cell r="Q103">
            <v>3695</v>
          </cell>
        </row>
        <row r="104">
          <cell r="C104">
            <v>2347</v>
          </cell>
          <cell r="D104" t="str">
            <v>Prince Edward Primary School</v>
          </cell>
          <cell r="E104" t="str">
            <v>Primary</v>
          </cell>
          <cell r="F104" t="str">
            <v>Community school</v>
          </cell>
          <cell r="G104" t="str">
            <v>Maintained School</v>
          </cell>
          <cell r="H104" t="str">
            <v>Rest</v>
          </cell>
          <cell r="I104">
            <v>16.399999999999999</v>
          </cell>
          <cell r="J104">
            <v>474</v>
          </cell>
          <cell r="K104">
            <v>17.760000000000002</v>
          </cell>
          <cell r="L104">
            <v>435</v>
          </cell>
          <cell r="M104">
            <v>26.54</v>
          </cell>
          <cell r="N104">
            <v>0</v>
          </cell>
          <cell r="O104">
            <v>7774</v>
          </cell>
          <cell r="P104">
            <v>7726</v>
          </cell>
          <cell r="Q104">
            <v>7774</v>
          </cell>
        </row>
        <row r="105">
          <cell r="C105">
            <v>2366</v>
          </cell>
          <cell r="D105" t="str">
            <v>Pye Bank CofE Primary School</v>
          </cell>
          <cell r="E105" t="str">
            <v>Primary</v>
          </cell>
          <cell r="F105" t="str">
            <v>Voluntary aided school</v>
          </cell>
          <cell r="G105" t="str">
            <v>Maintained School</v>
          </cell>
          <cell r="H105" t="str">
            <v>Rest</v>
          </cell>
          <cell r="I105">
            <v>16.399999999999999</v>
          </cell>
          <cell r="J105">
            <v>507</v>
          </cell>
          <cell r="K105">
            <v>17.760000000000002</v>
          </cell>
          <cell r="L105">
            <v>470</v>
          </cell>
          <cell r="M105">
            <v>26.54</v>
          </cell>
          <cell r="N105">
            <v>0</v>
          </cell>
          <cell r="O105">
            <v>8315</v>
          </cell>
          <cell r="P105">
            <v>8348</v>
          </cell>
          <cell r="Q105">
            <v>8348</v>
          </cell>
        </row>
        <row r="106">
          <cell r="C106">
            <v>2363</v>
          </cell>
          <cell r="D106" t="str">
            <v>Rainbow Forge Primary Academy</v>
          </cell>
          <cell r="E106" t="str">
            <v>Primary</v>
          </cell>
          <cell r="F106" t="str">
            <v>Academy converter</v>
          </cell>
          <cell r="G106" t="str">
            <v>Academy</v>
          </cell>
          <cell r="H106" t="str">
            <v>Rest</v>
          </cell>
          <cell r="I106">
            <v>16.399999999999999</v>
          </cell>
          <cell r="J106">
            <v>384</v>
          </cell>
          <cell r="K106">
            <v>17.760000000000002</v>
          </cell>
          <cell r="L106">
            <v>352</v>
          </cell>
          <cell r="M106">
            <v>26.54</v>
          </cell>
          <cell r="N106">
            <v>0</v>
          </cell>
          <cell r="O106">
            <v>6298</v>
          </cell>
          <cell r="P106">
            <v>6252</v>
          </cell>
          <cell r="Q106">
            <v>6298</v>
          </cell>
        </row>
        <row r="107">
          <cell r="C107">
            <v>2334</v>
          </cell>
          <cell r="D107" t="str">
            <v>Reignhead Primary School</v>
          </cell>
          <cell r="E107" t="str">
            <v>Primary</v>
          </cell>
          <cell r="F107" t="str">
            <v>Community school</v>
          </cell>
          <cell r="G107" t="str">
            <v>Maintained School</v>
          </cell>
          <cell r="H107" t="str">
            <v>Rest</v>
          </cell>
          <cell r="I107">
            <v>16.399999999999999</v>
          </cell>
          <cell r="J107">
            <v>330</v>
          </cell>
          <cell r="K107">
            <v>17.760000000000002</v>
          </cell>
          <cell r="L107">
            <v>303</v>
          </cell>
          <cell r="M107">
            <v>26.54</v>
          </cell>
          <cell r="N107">
            <v>0</v>
          </cell>
          <cell r="O107">
            <v>5412</v>
          </cell>
          <cell r="P107">
            <v>5382</v>
          </cell>
          <cell r="Q107">
            <v>5412</v>
          </cell>
        </row>
        <row r="108">
          <cell r="C108">
            <v>2338</v>
          </cell>
          <cell r="D108" t="str">
            <v>Rivelin Primary School</v>
          </cell>
          <cell r="E108" t="str">
            <v>Primary</v>
          </cell>
          <cell r="F108" t="str">
            <v>Community school</v>
          </cell>
          <cell r="G108" t="str">
            <v>Maintained School</v>
          </cell>
          <cell r="H108" t="str">
            <v>Rest</v>
          </cell>
          <cell r="I108">
            <v>16.399999999999999</v>
          </cell>
          <cell r="J108">
            <v>414</v>
          </cell>
          <cell r="K108">
            <v>17.760000000000002</v>
          </cell>
          <cell r="L108">
            <v>387</v>
          </cell>
          <cell r="M108">
            <v>26.54</v>
          </cell>
          <cell r="N108">
            <v>0</v>
          </cell>
          <cell r="O108">
            <v>6790</v>
          </cell>
          <cell r="P108">
            <v>6874</v>
          </cell>
          <cell r="Q108">
            <v>6874</v>
          </cell>
        </row>
        <row r="109">
          <cell r="C109">
            <v>2306</v>
          </cell>
          <cell r="D109" t="str">
            <v>Royd Nursery and Infant School</v>
          </cell>
          <cell r="E109" t="str">
            <v>Primary</v>
          </cell>
          <cell r="F109" t="str">
            <v>Community school</v>
          </cell>
          <cell r="G109" t="str">
            <v>Maintained School</v>
          </cell>
          <cell r="H109" t="str">
            <v>Rest</v>
          </cell>
          <cell r="I109">
            <v>16.399999999999999</v>
          </cell>
          <cell r="J109">
            <v>226</v>
          </cell>
          <cell r="K109">
            <v>17.760000000000002</v>
          </cell>
          <cell r="L109">
            <v>190</v>
          </cell>
          <cell r="M109">
            <v>26.54</v>
          </cell>
          <cell r="N109">
            <v>0</v>
          </cell>
          <cell r="O109">
            <v>3707</v>
          </cell>
          <cell r="P109">
            <v>3375</v>
          </cell>
          <cell r="Q109">
            <v>3707</v>
          </cell>
        </row>
        <row r="110">
          <cell r="C110">
            <v>3401</v>
          </cell>
          <cell r="D110" t="str">
            <v>Sacred Heart School, A Catholic Voluntary Academy</v>
          </cell>
          <cell r="E110" t="str">
            <v>Primary</v>
          </cell>
          <cell r="F110" t="str">
            <v>Academy converter</v>
          </cell>
          <cell r="G110" t="str">
            <v>Academy</v>
          </cell>
          <cell r="H110" t="str">
            <v>Rest</v>
          </cell>
          <cell r="I110">
            <v>16.399999999999999</v>
          </cell>
          <cell r="J110">
            <v>223</v>
          </cell>
          <cell r="K110">
            <v>17.760000000000002</v>
          </cell>
          <cell r="L110">
            <v>208</v>
          </cell>
          <cell r="M110">
            <v>26.54</v>
          </cell>
          <cell r="N110">
            <v>0</v>
          </cell>
          <cell r="O110">
            <v>3658</v>
          </cell>
          <cell r="P110">
            <v>3695</v>
          </cell>
          <cell r="Q110">
            <v>3695</v>
          </cell>
        </row>
        <row r="111">
          <cell r="C111">
            <v>2369</v>
          </cell>
          <cell r="D111" t="str">
            <v>Sharrow Nursery, Infant and Junior School</v>
          </cell>
          <cell r="E111" t="str">
            <v>Primary</v>
          </cell>
          <cell r="F111" t="str">
            <v>Foundation school</v>
          </cell>
          <cell r="G111" t="str">
            <v>Maintained School</v>
          </cell>
          <cell r="H111" t="str">
            <v>Rest</v>
          </cell>
          <cell r="I111">
            <v>16.399999999999999</v>
          </cell>
          <cell r="J111">
            <v>539</v>
          </cell>
          <cell r="K111">
            <v>17.760000000000002</v>
          </cell>
          <cell r="L111">
            <v>495</v>
          </cell>
          <cell r="M111">
            <v>26.54</v>
          </cell>
          <cell r="N111">
            <v>0</v>
          </cell>
          <cell r="O111">
            <v>8840</v>
          </cell>
          <cell r="P111">
            <v>8792</v>
          </cell>
          <cell r="Q111">
            <v>8840</v>
          </cell>
        </row>
        <row r="112">
          <cell r="C112">
            <v>2349</v>
          </cell>
          <cell r="D112" t="str">
            <v>Shooter's Grove Primary School</v>
          </cell>
          <cell r="E112" t="str">
            <v>Primary</v>
          </cell>
          <cell r="F112" t="str">
            <v>Community school</v>
          </cell>
          <cell r="G112" t="str">
            <v>Maintained School</v>
          </cell>
          <cell r="H112" t="str">
            <v>Rest</v>
          </cell>
          <cell r="I112">
            <v>16.399999999999999</v>
          </cell>
          <cell r="J112">
            <v>458</v>
          </cell>
          <cell r="K112">
            <v>17.760000000000002</v>
          </cell>
          <cell r="L112">
            <v>422</v>
          </cell>
          <cell r="M112">
            <v>26.54</v>
          </cell>
          <cell r="N112">
            <v>0</v>
          </cell>
          <cell r="O112">
            <v>7512</v>
          </cell>
          <cell r="P112">
            <v>7495</v>
          </cell>
          <cell r="Q112">
            <v>7512</v>
          </cell>
        </row>
        <row r="113">
          <cell r="C113">
            <v>2360</v>
          </cell>
          <cell r="D113" t="str">
            <v>Shortbrook Primary School</v>
          </cell>
          <cell r="E113" t="str">
            <v>Primary</v>
          </cell>
          <cell r="F113" t="str">
            <v>Community school</v>
          </cell>
          <cell r="G113" t="str">
            <v>Maintained School</v>
          </cell>
          <cell r="H113" t="str">
            <v>Rest</v>
          </cell>
          <cell r="I113">
            <v>16.399999999999999</v>
          </cell>
          <cell r="J113">
            <v>130</v>
          </cell>
          <cell r="K113">
            <v>17.760000000000002</v>
          </cell>
          <cell r="L113">
            <v>113</v>
          </cell>
          <cell r="M113">
            <v>26.54</v>
          </cell>
          <cell r="N113">
            <v>0</v>
          </cell>
          <cell r="O113">
            <v>2132</v>
          </cell>
          <cell r="P113">
            <v>2007</v>
          </cell>
          <cell r="Q113">
            <v>2132</v>
          </cell>
        </row>
        <row r="114">
          <cell r="C114">
            <v>2009</v>
          </cell>
          <cell r="D114" t="str">
            <v>Southey Green Primary School and Nurseries</v>
          </cell>
          <cell r="E114" t="str">
            <v>Primary</v>
          </cell>
          <cell r="F114" t="str">
            <v>Academy sponsor led</v>
          </cell>
          <cell r="G114" t="str">
            <v>Academy</v>
          </cell>
          <cell r="H114" t="str">
            <v>Rest</v>
          </cell>
          <cell r="I114">
            <v>16.399999999999999</v>
          </cell>
          <cell r="J114">
            <v>805</v>
          </cell>
          <cell r="K114">
            <v>17.760000000000002</v>
          </cell>
          <cell r="L114">
            <v>750</v>
          </cell>
          <cell r="M114">
            <v>26.54</v>
          </cell>
          <cell r="N114">
            <v>0</v>
          </cell>
          <cell r="O114">
            <v>13202</v>
          </cell>
          <cell r="P114">
            <v>13320</v>
          </cell>
          <cell r="Q114">
            <v>13320</v>
          </cell>
        </row>
        <row r="115">
          <cell r="C115">
            <v>2329</v>
          </cell>
          <cell r="D115" t="str">
            <v>Springfield Primary School</v>
          </cell>
          <cell r="E115" t="str">
            <v>Primary</v>
          </cell>
          <cell r="F115" t="str">
            <v>Community school</v>
          </cell>
          <cell r="G115" t="str">
            <v>Maintained School</v>
          </cell>
          <cell r="H115" t="str">
            <v>Rest</v>
          </cell>
          <cell r="I115">
            <v>16.399999999999999</v>
          </cell>
          <cell r="J115">
            <v>270</v>
          </cell>
          <cell r="K115">
            <v>17.760000000000002</v>
          </cell>
          <cell r="L115">
            <v>253</v>
          </cell>
          <cell r="M115">
            <v>26.54</v>
          </cell>
          <cell r="N115">
            <v>0</v>
          </cell>
          <cell r="O115">
            <v>4428</v>
          </cell>
          <cell r="P115">
            <v>4494</v>
          </cell>
          <cell r="Q115">
            <v>4494</v>
          </cell>
        </row>
        <row r="116">
          <cell r="C116">
            <v>5202</v>
          </cell>
          <cell r="D116" t="str">
            <v>St Ann's Catholic Primary School, A Voluntary Academy</v>
          </cell>
          <cell r="E116" t="str">
            <v>Primary</v>
          </cell>
          <cell r="F116" t="str">
            <v>Academy converter</v>
          </cell>
          <cell r="G116" t="str">
            <v>Academy</v>
          </cell>
          <cell r="H116" t="str">
            <v>Rest</v>
          </cell>
          <cell r="I116">
            <v>16.399999999999999</v>
          </cell>
          <cell r="J116">
            <v>102</v>
          </cell>
          <cell r="K116">
            <v>17.760000000000002</v>
          </cell>
          <cell r="L116">
            <v>100</v>
          </cell>
          <cell r="M116">
            <v>26.54</v>
          </cell>
          <cell r="N116">
            <v>0</v>
          </cell>
          <cell r="O116">
            <v>1673</v>
          </cell>
          <cell r="P116">
            <v>1776</v>
          </cell>
          <cell r="Q116">
            <v>1776</v>
          </cell>
        </row>
        <row r="117">
          <cell r="C117">
            <v>3402</v>
          </cell>
          <cell r="D117" t="str">
            <v>St Catherine's Catholic Voluntary Academy (Hallam)</v>
          </cell>
          <cell r="E117" t="str">
            <v>Primary</v>
          </cell>
          <cell r="F117" t="str">
            <v>Academy converter</v>
          </cell>
          <cell r="G117" t="str">
            <v>Academy</v>
          </cell>
          <cell r="H117" t="str">
            <v>Rest</v>
          </cell>
          <cell r="I117">
            <v>16.399999999999999</v>
          </cell>
          <cell r="J117">
            <v>511</v>
          </cell>
          <cell r="K117">
            <v>17.760000000000002</v>
          </cell>
          <cell r="L117">
            <v>473</v>
          </cell>
          <cell r="M117">
            <v>26.54</v>
          </cell>
          <cell r="N117">
            <v>0</v>
          </cell>
          <cell r="O117">
            <v>8381</v>
          </cell>
          <cell r="P117">
            <v>8401</v>
          </cell>
          <cell r="Q117">
            <v>8401</v>
          </cell>
        </row>
        <row r="118">
          <cell r="C118">
            <v>2017</v>
          </cell>
          <cell r="D118" t="str">
            <v>St John Fisher Primary, A Catholic Voluntary Academy</v>
          </cell>
          <cell r="E118" t="str">
            <v>Primary</v>
          </cell>
          <cell r="F118" t="str">
            <v>Academy sponsor led</v>
          </cell>
          <cell r="G118" t="str">
            <v>Academy</v>
          </cell>
          <cell r="H118" t="str">
            <v>Rest</v>
          </cell>
          <cell r="I118">
            <v>16.399999999999999</v>
          </cell>
          <cell r="J118">
            <v>234</v>
          </cell>
          <cell r="K118">
            <v>17.760000000000002</v>
          </cell>
          <cell r="L118">
            <v>212</v>
          </cell>
          <cell r="M118">
            <v>26.54</v>
          </cell>
          <cell r="N118">
            <v>0</v>
          </cell>
          <cell r="O118">
            <v>3838</v>
          </cell>
          <cell r="P118">
            <v>3766</v>
          </cell>
          <cell r="Q118">
            <v>3838</v>
          </cell>
        </row>
        <row r="119">
          <cell r="C119">
            <v>5203</v>
          </cell>
          <cell r="D119" t="str">
            <v>St Joseph's Primary School</v>
          </cell>
          <cell r="E119" t="str">
            <v>Primary</v>
          </cell>
          <cell r="F119" t="str">
            <v>Academy converter</v>
          </cell>
          <cell r="G119" t="str">
            <v>Academy</v>
          </cell>
          <cell r="H119" t="str">
            <v>Rest</v>
          </cell>
          <cell r="I119">
            <v>16.399999999999999</v>
          </cell>
          <cell r="J119">
            <v>253</v>
          </cell>
          <cell r="K119">
            <v>17.760000000000002</v>
          </cell>
          <cell r="L119">
            <v>234</v>
          </cell>
          <cell r="M119">
            <v>26.54</v>
          </cell>
          <cell r="N119">
            <v>0</v>
          </cell>
          <cell r="O119">
            <v>4150</v>
          </cell>
          <cell r="P119">
            <v>4156</v>
          </cell>
          <cell r="Q119">
            <v>4156</v>
          </cell>
        </row>
        <row r="120">
          <cell r="C120">
            <v>3406</v>
          </cell>
          <cell r="D120" t="str">
            <v>St Marie's School, A Catholic Voluntary Academy</v>
          </cell>
          <cell r="E120" t="str">
            <v>Primary</v>
          </cell>
          <cell r="F120" t="str">
            <v>Academy converter</v>
          </cell>
          <cell r="G120" t="str">
            <v>Academy</v>
          </cell>
          <cell r="H120" t="str">
            <v>Rest</v>
          </cell>
          <cell r="I120">
            <v>16.399999999999999</v>
          </cell>
          <cell r="J120">
            <v>312</v>
          </cell>
          <cell r="K120">
            <v>17.760000000000002</v>
          </cell>
          <cell r="L120">
            <v>291</v>
          </cell>
          <cell r="M120">
            <v>26.54</v>
          </cell>
          <cell r="N120">
            <v>0</v>
          </cell>
          <cell r="O120">
            <v>5117</v>
          </cell>
          <cell r="P120">
            <v>5169</v>
          </cell>
          <cell r="Q120">
            <v>5169</v>
          </cell>
        </row>
        <row r="121">
          <cell r="C121">
            <v>2020</v>
          </cell>
          <cell r="D121" t="str">
            <v>St Mary's Church of England Primary School</v>
          </cell>
          <cell r="E121" t="str">
            <v>Primary</v>
          </cell>
          <cell r="F121" t="str">
            <v>Academy sponsor led</v>
          </cell>
          <cell r="G121" t="str">
            <v>Academy</v>
          </cell>
          <cell r="H121" t="str">
            <v>Rest</v>
          </cell>
          <cell r="I121">
            <v>16.399999999999999</v>
          </cell>
          <cell r="J121">
            <v>198</v>
          </cell>
          <cell r="K121">
            <v>17.760000000000002</v>
          </cell>
          <cell r="L121">
            <v>185</v>
          </cell>
          <cell r="M121">
            <v>26.54</v>
          </cell>
          <cell r="N121">
            <v>0</v>
          </cell>
          <cell r="O121">
            <v>3248</v>
          </cell>
          <cell r="P121">
            <v>3286</v>
          </cell>
          <cell r="Q121">
            <v>3286</v>
          </cell>
        </row>
        <row r="122">
          <cell r="C122">
            <v>3423</v>
          </cell>
          <cell r="D122" t="str">
            <v>St Mary's Primary School, A Catholic Voluntary Academy</v>
          </cell>
          <cell r="E122" t="str">
            <v>Primary</v>
          </cell>
          <cell r="F122" t="str">
            <v>Academy converter</v>
          </cell>
          <cell r="G122" t="str">
            <v>Academy</v>
          </cell>
          <cell r="H122" t="str">
            <v>Rest</v>
          </cell>
          <cell r="I122">
            <v>16.399999999999999</v>
          </cell>
          <cell r="J122">
            <v>225</v>
          </cell>
          <cell r="K122">
            <v>17.760000000000002</v>
          </cell>
          <cell r="L122">
            <v>205</v>
          </cell>
          <cell r="M122">
            <v>26.54</v>
          </cell>
          <cell r="N122">
            <v>0</v>
          </cell>
          <cell r="O122">
            <v>3690</v>
          </cell>
          <cell r="P122">
            <v>3641</v>
          </cell>
          <cell r="Q122">
            <v>3690</v>
          </cell>
        </row>
        <row r="123">
          <cell r="C123">
            <v>5207</v>
          </cell>
          <cell r="D123" t="str">
            <v>St Patrick's Catholic Voluntary Academy</v>
          </cell>
          <cell r="E123" t="str">
            <v>Primary</v>
          </cell>
          <cell r="F123" t="str">
            <v>Academy converter</v>
          </cell>
          <cell r="G123" t="str">
            <v>Academy</v>
          </cell>
          <cell r="H123" t="str">
            <v>Rest</v>
          </cell>
          <cell r="I123">
            <v>16.399999999999999</v>
          </cell>
          <cell r="J123">
            <v>343</v>
          </cell>
          <cell r="K123">
            <v>17.760000000000002</v>
          </cell>
          <cell r="L123">
            <v>319</v>
          </cell>
          <cell r="M123">
            <v>26.54</v>
          </cell>
          <cell r="N123">
            <v>0</v>
          </cell>
          <cell r="O123">
            <v>5626</v>
          </cell>
          <cell r="P123">
            <v>5666</v>
          </cell>
          <cell r="Q123">
            <v>5666</v>
          </cell>
        </row>
        <row r="124">
          <cell r="C124">
            <v>5208</v>
          </cell>
          <cell r="D124" t="str">
            <v>St Theresa's Catholic Primary School</v>
          </cell>
          <cell r="E124" t="str">
            <v>Primary</v>
          </cell>
          <cell r="F124" t="str">
            <v>Voluntary aided school</v>
          </cell>
          <cell r="G124" t="str">
            <v>Maintained School</v>
          </cell>
          <cell r="H124" t="str">
            <v>Rest</v>
          </cell>
          <cell r="I124">
            <v>16.399999999999999</v>
          </cell>
          <cell r="J124">
            <v>258</v>
          </cell>
          <cell r="K124">
            <v>17.760000000000002</v>
          </cell>
          <cell r="L124">
            <v>244</v>
          </cell>
          <cell r="M124">
            <v>26.54</v>
          </cell>
          <cell r="N124">
            <v>0</v>
          </cell>
          <cell r="O124">
            <v>4232</v>
          </cell>
          <cell r="P124">
            <v>4334</v>
          </cell>
          <cell r="Q124">
            <v>4334</v>
          </cell>
        </row>
        <row r="125">
          <cell r="C125">
            <v>3424</v>
          </cell>
          <cell r="D125" t="str">
            <v>St Thomas More Catholic Primary, A Voluntary Academy</v>
          </cell>
          <cell r="E125" t="str">
            <v>Primary</v>
          </cell>
          <cell r="F125" t="str">
            <v>Academy converter</v>
          </cell>
          <cell r="G125" t="str">
            <v>Academy</v>
          </cell>
          <cell r="H125" t="str">
            <v>Rest</v>
          </cell>
          <cell r="I125">
            <v>16.399999999999999</v>
          </cell>
          <cell r="J125">
            <v>224</v>
          </cell>
          <cell r="K125">
            <v>17.760000000000002</v>
          </cell>
          <cell r="L125">
            <v>205</v>
          </cell>
          <cell r="M125">
            <v>26.54</v>
          </cell>
          <cell r="N125">
            <v>0</v>
          </cell>
          <cell r="O125">
            <v>3674</v>
          </cell>
          <cell r="P125">
            <v>3641</v>
          </cell>
          <cell r="Q125">
            <v>3674</v>
          </cell>
        </row>
        <row r="126">
          <cell r="C126">
            <v>3414</v>
          </cell>
          <cell r="D126" t="str">
            <v>St Thomas of Canterbury School, a Catholic Voluntary Academy</v>
          </cell>
          <cell r="E126" t="str">
            <v>Primary</v>
          </cell>
          <cell r="F126" t="str">
            <v>Academy converter</v>
          </cell>
          <cell r="G126" t="str">
            <v>Academy</v>
          </cell>
          <cell r="H126" t="str">
            <v>Rest</v>
          </cell>
          <cell r="I126">
            <v>16.399999999999999</v>
          </cell>
          <cell r="J126">
            <v>263</v>
          </cell>
          <cell r="K126">
            <v>17.760000000000002</v>
          </cell>
          <cell r="L126">
            <v>244</v>
          </cell>
          <cell r="M126">
            <v>26.54</v>
          </cell>
          <cell r="N126">
            <v>0</v>
          </cell>
          <cell r="O126">
            <v>4314</v>
          </cell>
          <cell r="P126">
            <v>4334</v>
          </cell>
          <cell r="Q126">
            <v>4334</v>
          </cell>
        </row>
        <row r="127">
          <cell r="C127">
            <v>3412</v>
          </cell>
          <cell r="D127" t="str">
            <v>St Wilfrid's Catholic Primary School</v>
          </cell>
          <cell r="E127" t="str">
            <v>Primary</v>
          </cell>
          <cell r="F127" t="str">
            <v>Academy converter</v>
          </cell>
          <cell r="G127" t="str">
            <v>Academy</v>
          </cell>
          <cell r="H127" t="str">
            <v>Rest</v>
          </cell>
          <cell r="I127">
            <v>16.399999999999999</v>
          </cell>
          <cell r="J127">
            <v>334</v>
          </cell>
          <cell r="K127">
            <v>17.760000000000002</v>
          </cell>
          <cell r="L127">
            <v>307</v>
          </cell>
          <cell r="M127">
            <v>26.54</v>
          </cell>
          <cell r="N127">
            <v>0</v>
          </cell>
          <cell r="O127">
            <v>5478</v>
          </cell>
          <cell r="P127">
            <v>5453</v>
          </cell>
          <cell r="Q127">
            <v>5478</v>
          </cell>
        </row>
        <row r="128">
          <cell r="C128">
            <v>2294</v>
          </cell>
          <cell r="D128" t="str">
            <v>Stannington Infant School</v>
          </cell>
          <cell r="E128" t="str">
            <v>Primary</v>
          </cell>
          <cell r="F128" t="str">
            <v>Community school</v>
          </cell>
          <cell r="G128" t="str">
            <v>Maintained School</v>
          </cell>
          <cell r="H128" t="str">
            <v>Rest</v>
          </cell>
          <cell r="I128">
            <v>16.399999999999999</v>
          </cell>
          <cell r="J128">
            <v>223</v>
          </cell>
          <cell r="K128">
            <v>17.760000000000002</v>
          </cell>
          <cell r="L128">
            <v>177</v>
          </cell>
          <cell r="M128">
            <v>26.54</v>
          </cell>
          <cell r="N128">
            <v>0</v>
          </cell>
          <cell r="O128">
            <v>3658</v>
          </cell>
          <cell r="P128">
            <v>3144</v>
          </cell>
          <cell r="Q128">
            <v>3658</v>
          </cell>
        </row>
        <row r="129">
          <cell r="C129">
            <v>2303</v>
          </cell>
          <cell r="D129" t="str">
            <v>Stocksbridge Junior School</v>
          </cell>
          <cell r="E129" t="str">
            <v>Primary</v>
          </cell>
          <cell r="F129" t="str">
            <v>Community school</v>
          </cell>
          <cell r="G129" t="str">
            <v>Maintained School</v>
          </cell>
          <cell r="H129" t="str">
            <v>Rest</v>
          </cell>
          <cell r="I129">
            <v>16.399999999999999</v>
          </cell>
          <cell r="J129">
            <v>384</v>
          </cell>
          <cell r="K129">
            <v>17.760000000000002</v>
          </cell>
          <cell r="L129">
            <v>384</v>
          </cell>
          <cell r="M129">
            <v>26.54</v>
          </cell>
          <cell r="N129">
            <v>0</v>
          </cell>
          <cell r="O129">
            <v>6298</v>
          </cell>
          <cell r="P129">
            <v>6820</v>
          </cell>
          <cell r="Q129">
            <v>6820</v>
          </cell>
        </row>
        <row r="130">
          <cell r="C130">
            <v>2302</v>
          </cell>
          <cell r="D130" t="str">
            <v>Stocksbridge Nursery Infant School</v>
          </cell>
          <cell r="E130" t="str">
            <v>Primary</v>
          </cell>
          <cell r="F130" t="str">
            <v>Community school</v>
          </cell>
          <cell r="G130" t="str">
            <v>Maintained School</v>
          </cell>
          <cell r="H130" t="str">
            <v>Rest</v>
          </cell>
          <cell r="I130">
            <v>16.399999999999999</v>
          </cell>
          <cell r="J130">
            <v>333</v>
          </cell>
          <cell r="K130">
            <v>17.760000000000002</v>
          </cell>
          <cell r="L130">
            <v>273</v>
          </cell>
          <cell r="M130">
            <v>26.54</v>
          </cell>
          <cell r="N130">
            <v>0</v>
          </cell>
          <cell r="O130">
            <v>5462</v>
          </cell>
          <cell r="P130">
            <v>4849</v>
          </cell>
          <cell r="Q130">
            <v>5462</v>
          </cell>
        </row>
        <row r="131">
          <cell r="C131">
            <v>2350</v>
          </cell>
          <cell r="D131" t="str">
            <v>Stradbroke Primary School</v>
          </cell>
          <cell r="E131" t="str">
            <v>Primary</v>
          </cell>
          <cell r="F131" t="str">
            <v>Foundation school</v>
          </cell>
          <cell r="G131" t="str">
            <v>Maintained School</v>
          </cell>
          <cell r="H131" t="str">
            <v>Rest</v>
          </cell>
          <cell r="I131">
            <v>16.399999999999999</v>
          </cell>
          <cell r="J131">
            <v>525</v>
          </cell>
          <cell r="K131">
            <v>17.760000000000002</v>
          </cell>
          <cell r="L131">
            <v>486</v>
          </cell>
          <cell r="M131">
            <v>26.54</v>
          </cell>
          <cell r="N131">
            <v>0</v>
          </cell>
          <cell r="O131">
            <v>8610</v>
          </cell>
          <cell r="P131">
            <v>8632</v>
          </cell>
          <cell r="Q131">
            <v>8632</v>
          </cell>
        </row>
        <row r="132">
          <cell r="C132">
            <v>2230</v>
          </cell>
          <cell r="D132" t="str">
            <v>Tinsley Meadows Primary School</v>
          </cell>
          <cell r="E132" t="str">
            <v>Primary</v>
          </cell>
          <cell r="F132" t="str">
            <v>Academy converter</v>
          </cell>
          <cell r="G132" t="str">
            <v>Academy</v>
          </cell>
          <cell r="H132" t="str">
            <v>Rest</v>
          </cell>
          <cell r="I132">
            <v>16.399999999999999</v>
          </cell>
          <cell r="J132">
            <v>685</v>
          </cell>
          <cell r="K132">
            <v>17.760000000000002</v>
          </cell>
          <cell r="L132">
            <v>640</v>
          </cell>
          <cell r="M132">
            <v>26.54</v>
          </cell>
          <cell r="N132">
            <v>0</v>
          </cell>
          <cell r="O132">
            <v>11234</v>
          </cell>
          <cell r="P132">
            <v>11367</v>
          </cell>
          <cell r="Q132">
            <v>11367</v>
          </cell>
        </row>
        <row r="133">
          <cell r="C133">
            <v>5206</v>
          </cell>
          <cell r="D133" t="str">
            <v>Totley All Saints Church of England Voluntary Aided Primary School</v>
          </cell>
          <cell r="E133" t="str">
            <v>Primary</v>
          </cell>
          <cell r="F133" t="str">
            <v>Voluntary aided school</v>
          </cell>
          <cell r="G133" t="str">
            <v>Maintained School</v>
          </cell>
          <cell r="H133" t="str">
            <v>Rest</v>
          </cell>
          <cell r="I133">
            <v>16.399999999999999</v>
          </cell>
          <cell r="J133">
            <v>225</v>
          </cell>
          <cell r="K133">
            <v>17.760000000000002</v>
          </cell>
          <cell r="L133">
            <v>210</v>
          </cell>
          <cell r="M133">
            <v>26.54</v>
          </cell>
          <cell r="N133">
            <v>0</v>
          </cell>
          <cell r="O133">
            <v>3690</v>
          </cell>
          <cell r="P133">
            <v>3730</v>
          </cell>
          <cell r="Q133">
            <v>3730</v>
          </cell>
        </row>
        <row r="134">
          <cell r="C134">
            <v>2203</v>
          </cell>
          <cell r="D134" t="str">
            <v>Totley Primary School</v>
          </cell>
          <cell r="E134" t="str">
            <v>Primary</v>
          </cell>
          <cell r="F134" t="str">
            <v>Academy converter</v>
          </cell>
          <cell r="G134" t="str">
            <v>Academy</v>
          </cell>
          <cell r="H134" t="str">
            <v>Rest</v>
          </cell>
          <cell r="I134">
            <v>16.399999999999999</v>
          </cell>
          <cell r="J134">
            <v>318</v>
          </cell>
          <cell r="K134">
            <v>17.760000000000002</v>
          </cell>
          <cell r="L134">
            <v>278</v>
          </cell>
          <cell r="M134">
            <v>26.54</v>
          </cell>
          <cell r="N134">
            <v>0</v>
          </cell>
          <cell r="O134">
            <v>5216</v>
          </cell>
          <cell r="P134">
            <v>4938</v>
          </cell>
          <cell r="Q134">
            <v>5216</v>
          </cell>
        </row>
        <row r="135">
          <cell r="C135">
            <v>2034</v>
          </cell>
          <cell r="D135" t="str">
            <v>Valley Park Community School</v>
          </cell>
          <cell r="E135" t="str">
            <v>Primary</v>
          </cell>
          <cell r="F135" t="str">
            <v>Academy sponsor led</v>
          </cell>
          <cell r="G135" t="str">
            <v>Academy</v>
          </cell>
          <cell r="H135" t="str">
            <v>Rest</v>
          </cell>
          <cell r="I135">
            <v>16.399999999999999</v>
          </cell>
          <cell r="J135">
            <v>500</v>
          </cell>
          <cell r="K135">
            <v>17.760000000000002</v>
          </cell>
          <cell r="L135">
            <v>467</v>
          </cell>
          <cell r="M135">
            <v>26.54</v>
          </cell>
          <cell r="N135">
            <v>0</v>
          </cell>
          <cell r="O135">
            <v>8200</v>
          </cell>
          <cell r="P135">
            <v>8294</v>
          </cell>
          <cell r="Q135">
            <v>8294</v>
          </cell>
        </row>
        <row r="136">
          <cell r="C136">
            <v>2351</v>
          </cell>
          <cell r="D136" t="str">
            <v>Walkley Primary School</v>
          </cell>
          <cell r="E136" t="str">
            <v>Primary</v>
          </cell>
          <cell r="F136" t="str">
            <v>Community school</v>
          </cell>
          <cell r="G136" t="str">
            <v>Maintained School</v>
          </cell>
          <cell r="H136" t="str">
            <v>Rest</v>
          </cell>
          <cell r="I136">
            <v>16.399999999999999</v>
          </cell>
          <cell r="J136">
            <v>357</v>
          </cell>
          <cell r="K136">
            <v>17.760000000000002</v>
          </cell>
          <cell r="L136">
            <v>329</v>
          </cell>
          <cell r="M136">
            <v>26.54</v>
          </cell>
          <cell r="N136">
            <v>0</v>
          </cell>
          <cell r="O136">
            <v>5855</v>
          </cell>
          <cell r="P136">
            <v>5844</v>
          </cell>
          <cell r="Q136">
            <v>5855</v>
          </cell>
        </row>
        <row r="137">
          <cell r="C137">
            <v>3432</v>
          </cell>
          <cell r="D137" t="str">
            <v>Watercliffe Meadow Community Primary School</v>
          </cell>
          <cell r="E137" t="str">
            <v>Primary</v>
          </cell>
          <cell r="F137" t="str">
            <v>Community school</v>
          </cell>
          <cell r="G137" t="str">
            <v>Maintained School</v>
          </cell>
          <cell r="H137" t="str">
            <v>Rest</v>
          </cell>
          <cell r="I137">
            <v>16.399999999999999</v>
          </cell>
          <cell r="J137">
            <v>544</v>
          </cell>
          <cell r="K137">
            <v>17.760000000000002</v>
          </cell>
          <cell r="L137">
            <v>504</v>
          </cell>
          <cell r="M137">
            <v>26.54</v>
          </cell>
          <cell r="N137">
            <v>0</v>
          </cell>
          <cell r="O137">
            <v>8922</v>
          </cell>
          <cell r="P137">
            <v>8952</v>
          </cell>
          <cell r="Q137">
            <v>8952</v>
          </cell>
        </row>
        <row r="138">
          <cell r="C138">
            <v>2319</v>
          </cell>
          <cell r="D138" t="str">
            <v>Waterthorpe Infant School</v>
          </cell>
          <cell r="E138" t="str">
            <v>Primary</v>
          </cell>
          <cell r="F138" t="str">
            <v>Community school</v>
          </cell>
          <cell r="G138" t="str">
            <v>Maintained School</v>
          </cell>
          <cell r="H138" t="str">
            <v>Rest</v>
          </cell>
          <cell r="I138">
            <v>16.399999999999999</v>
          </cell>
          <cell r="J138">
            <v>220</v>
          </cell>
          <cell r="K138">
            <v>17.760000000000002</v>
          </cell>
          <cell r="L138">
            <v>196</v>
          </cell>
          <cell r="M138">
            <v>26.54</v>
          </cell>
          <cell r="N138">
            <v>0</v>
          </cell>
          <cell r="O138">
            <v>3608</v>
          </cell>
          <cell r="P138">
            <v>3481</v>
          </cell>
          <cell r="Q138">
            <v>3608</v>
          </cell>
        </row>
        <row r="139">
          <cell r="C139">
            <v>2352</v>
          </cell>
          <cell r="D139" t="str">
            <v>Westways Primary School</v>
          </cell>
          <cell r="E139" t="str">
            <v>Primary</v>
          </cell>
          <cell r="F139" t="str">
            <v>Community school</v>
          </cell>
          <cell r="G139" t="str">
            <v>Maintained School</v>
          </cell>
          <cell r="H139" t="str">
            <v>Rest</v>
          </cell>
          <cell r="I139">
            <v>16.399999999999999</v>
          </cell>
          <cell r="J139">
            <v>692</v>
          </cell>
          <cell r="K139">
            <v>17.760000000000002</v>
          </cell>
          <cell r="L139">
            <v>640</v>
          </cell>
          <cell r="M139">
            <v>26.54</v>
          </cell>
          <cell r="N139">
            <v>0</v>
          </cell>
          <cell r="O139">
            <v>11349</v>
          </cell>
          <cell r="P139">
            <v>11367</v>
          </cell>
          <cell r="Q139">
            <v>11367</v>
          </cell>
        </row>
        <row r="140">
          <cell r="C140">
            <v>2311</v>
          </cell>
          <cell r="D140" t="str">
            <v>Wharncliffe Side Primary School</v>
          </cell>
          <cell r="E140" t="str">
            <v>Primary</v>
          </cell>
          <cell r="F140" t="str">
            <v>Community school</v>
          </cell>
          <cell r="G140" t="str">
            <v>Maintained School</v>
          </cell>
          <cell r="H140" t="str">
            <v>Rest</v>
          </cell>
          <cell r="I140">
            <v>16.399999999999999</v>
          </cell>
          <cell r="J140">
            <v>196</v>
          </cell>
          <cell r="K140">
            <v>17.760000000000002</v>
          </cell>
          <cell r="L140">
            <v>184</v>
          </cell>
          <cell r="M140">
            <v>26.54</v>
          </cell>
          <cell r="N140">
            <v>0</v>
          </cell>
          <cell r="O140">
            <v>3215</v>
          </cell>
          <cell r="P140">
            <v>3268</v>
          </cell>
          <cell r="Q140">
            <v>3268</v>
          </cell>
        </row>
        <row r="141">
          <cell r="C141">
            <v>2040</v>
          </cell>
          <cell r="D141" t="str">
            <v>Whiteways Primary School</v>
          </cell>
          <cell r="E141" t="str">
            <v>Primary</v>
          </cell>
          <cell r="F141" t="str">
            <v>Community school</v>
          </cell>
          <cell r="G141" t="str">
            <v>Maintained School</v>
          </cell>
          <cell r="H141" t="str">
            <v>Rest</v>
          </cell>
          <cell r="I141">
            <v>16.399999999999999</v>
          </cell>
          <cell r="J141">
            <v>540</v>
          </cell>
          <cell r="K141">
            <v>17.760000000000002</v>
          </cell>
          <cell r="L141">
            <v>506</v>
          </cell>
          <cell r="M141">
            <v>26.54</v>
          </cell>
          <cell r="N141">
            <v>0</v>
          </cell>
          <cell r="O141">
            <v>8856</v>
          </cell>
          <cell r="P141">
            <v>8987</v>
          </cell>
          <cell r="Q141">
            <v>8987</v>
          </cell>
        </row>
        <row r="142">
          <cell r="C142">
            <v>2027</v>
          </cell>
          <cell r="D142" t="str">
            <v>Wincobank Nursery and Infant School</v>
          </cell>
          <cell r="E142" t="str">
            <v>Primary</v>
          </cell>
          <cell r="F142" t="str">
            <v>Academy sponsor led</v>
          </cell>
          <cell r="G142" t="str">
            <v>Academy</v>
          </cell>
          <cell r="H142" t="str">
            <v>Rest</v>
          </cell>
          <cell r="I142">
            <v>16.399999999999999</v>
          </cell>
          <cell r="J142">
            <v>265</v>
          </cell>
          <cell r="K142">
            <v>17.760000000000002</v>
          </cell>
          <cell r="L142">
            <v>229</v>
          </cell>
          <cell r="M142">
            <v>26.54</v>
          </cell>
          <cell r="N142">
            <v>0</v>
          </cell>
          <cell r="O142">
            <v>4346</v>
          </cell>
          <cell r="P142">
            <v>4068</v>
          </cell>
          <cell r="Q142">
            <v>4346</v>
          </cell>
        </row>
        <row r="143">
          <cell r="C143">
            <v>2361</v>
          </cell>
          <cell r="D143" t="str">
            <v>Windmill Hill Primary School</v>
          </cell>
          <cell r="E143" t="str">
            <v>Primary</v>
          </cell>
          <cell r="F143" t="str">
            <v>Academy converter</v>
          </cell>
          <cell r="G143" t="str">
            <v>Academy</v>
          </cell>
          <cell r="H143" t="str">
            <v>Rest</v>
          </cell>
          <cell r="I143">
            <v>16.399999999999999</v>
          </cell>
          <cell r="J143">
            <v>400</v>
          </cell>
          <cell r="K143">
            <v>17.760000000000002</v>
          </cell>
          <cell r="L143">
            <v>371</v>
          </cell>
          <cell r="M143">
            <v>26.54</v>
          </cell>
          <cell r="N143">
            <v>0</v>
          </cell>
          <cell r="O143">
            <v>6560</v>
          </cell>
          <cell r="P143">
            <v>6589</v>
          </cell>
          <cell r="Q143">
            <v>6589</v>
          </cell>
        </row>
        <row r="144">
          <cell r="C144">
            <v>2043</v>
          </cell>
          <cell r="D144" t="str">
            <v>Wisewood Community Primary School</v>
          </cell>
          <cell r="E144" t="str">
            <v>Primary</v>
          </cell>
          <cell r="F144" t="str">
            <v>Academy sponsor led</v>
          </cell>
          <cell r="G144" t="str">
            <v>Academy</v>
          </cell>
          <cell r="H144" t="str">
            <v>Rest</v>
          </cell>
          <cell r="I144">
            <v>16.399999999999999</v>
          </cell>
          <cell r="J144">
            <v>191</v>
          </cell>
          <cell r="K144">
            <v>17.760000000000002</v>
          </cell>
          <cell r="L144">
            <v>179</v>
          </cell>
          <cell r="M144">
            <v>26.54</v>
          </cell>
          <cell r="N144">
            <v>0</v>
          </cell>
          <cell r="O144">
            <v>3133</v>
          </cell>
          <cell r="P144">
            <v>3180</v>
          </cell>
          <cell r="Q144">
            <v>3180</v>
          </cell>
        </row>
        <row r="145">
          <cell r="C145">
            <v>2139</v>
          </cell>
          <cell r="D145" t="str">
            <v>Woodhouse West Primary School</v>
          </cell>
          <cell r="E145" t="str">
            <v>Primary</v>
          </cell>
          <cell r="F145" t="str">
            <v>Foundation school</v>
          </cell>
          <cell r="G145" t="str">
            <v>Maintained School</v>
          </cell>
          <cell r="H145" t="str">
            <v>Rest</v>
          </cell>
          <cell r="I145">
            <v>16.399999999999999</v>
          </cell>
          <cell r="J145">
            <v>412</v>
          </cell>
          <cell r="K145">
            <v>17.760000000000002</v>
          </cell>
          <cell r="L145">
            <v>383</v>
          </cell>
          <cell r="M145">
            <v>26.54</v>
          </cell>
          <cell r="N145">
            <v>0</v>
          </cell>
          <cell r="O145">
            <v>6757</v>
          </cell>
          <cell r="P145">
            <v>6803</v>
          </cell>
          <cell r="Q145">
            <v>6803</v>
          </cell>
        </row>
        <row r="146">
          <cell r="C146">
            <v>2324</v>
          </cell>
          <cell r="D146" t="str">
            <v>Woodseats Primary School</v>
          </cell>
          <cell r="E146" t="str">
            <v>Primary</v>
          </cell>
          <cell r="F146" t="str">
            <v>Community school</v>
          </cell>
          <cell r="G146" t="str">
            <v>Maintained School</v>
          </cell>
          <cell r="H146" t="str">
            <v>Rest</v>
          </cell>
          <cell r="I146">
            <v>16.399999999999999</v>
          </cell>
          <cell r="J146">
            <v>437</v>
          </cell>
          <cell r="K146">
            <v>17.760000000000002</v>
          </cell>
          <cell r="L146">
            <v>409</v>
          </cell>
          <cell r="M146">
            <v>26.54</v>
          </cell>
          <cell r="N146">
            <v>0</v>
          </cell>
          <cell r="O146">
            <v>7167</v>
          </cell>
          <cell r="P146">
            <v>7264</v>
          </cell>
          <cell r="Q146">
            <v>7264</v>
          </cell>
        </row>
        <row r="147">
          <cell r="C147">
            <v>2327</v>
          </cell>
          <cell r="D147" t="str">
            <v>Woodthorpe Primary School</v>
          </cell>
          <cell r="E147" t="str">
            <v>Primary</v>
          </cell>
          <cell r="F147" t="str">
            <v>Foundation school</v>
          </cell>
          <cell r="G147" t="str">
            <v>Maintained School</v>
          </cell>
          <cell r="H147" t="str">
            <v>Rest</v>
          </cell>
          <cell r="I147">
            <v>16.399999999999999</v>
          </cell>
          <cell r="J147">
            <v>473</v>
          </cell>
          <cell r="K147">
            <v>17.760000000000002</v>
          </cell>
          <cell r="L147">
            <v>435</v>
          </cell>
          <cell r="M147">
            <v>26.54</v>
          </cell>
          <cell r="N147">
            <v>0</v>
          </cell>
          <cell r="O147">
            <v>7758</v>
          </cell>
          <cell r="P147">
            <v>7726</v>
          </cell>
          <cell r="Q147">
            <v>7758</v>
          </cell>
        </row>
        <row r="148">
          <cell r="C148">
            <v>2321</v>
          </cell>
          <cell r="D148" t="str">
            <v>Wybourn Community Primary &amp; Nursery School</v>
          </cell>
          <cell r="E148" t="str">
            <v>Primary</v>
          </cell>
          <cell r="F148" t="str">
            <v>Academy converter</v>
          </cell>
          <cell r="G148" t="str">
            <v>Academy</v>
          </cell>
          <cell r="H148" t="str">
            <v>Rest</v>
          </cell>
          <cell r="I148">
            <v>16.399999999999999</v>
          </cell>
          <cell r="J148">
            <v>551</v>
          </cell>
          <cell r="K148">
            <v>17.760000000000002</v>
          </cell>
          <cell r="L148">
            <v>516</v>
          </cell>
          <cell r="M148">
            <v>26.54</v>
          </cell>
          <cell r="N148">
            <v>0</v>
          </cell>
          <cell r="O148">
            <v>9037</v>
          </cell>
          <cell r="P148">
            <v>9165</v>
          </cell>
          <cell r="Q148">
            <v>9165</v>
          </cell>
        </row>
        <row r="150">
          <cell r="C150">
            <v>5401</v>
          </cell>
          <cell r="D150" t="str">
            <v>All Saints' Catholic High School</v>
          </cell>
          <cell r="E150" t="str">
            <v>Secondary</v>
          </cell>
          <cell r="F150" t="str">
            <v>Academy converter</v>
          </cell>
          <cell r="G150" t="str">
            <v>Academy</v>
          </cell>
          <cell r="H150" t="str">
            <v>Rest</v>
          </cell>
          <cell r="I150">
            <v>16.399999999999999</v>
          </cell>
          <cell r="J150">
            <v>0</v>
          </cell>
          <cell r="K150">
            <v>17.760000000000002</v>
          </cell>
          <cell r="L150">
            <v>0</v>
          </cell>
          <cell r="M150">
            <v>26.54</v>
          </cell>
          <cell r="N150">
            <v>1362.1530382999999</v>
          </cell>
          <cell r="O150">
            <v>36152</v>
          </cell>
          <cell r="P150">
            <v>36152</v>
          </cell>
          <cell r="Q150">
            <v>36152</v>
          </cell>
        </row>
        <row r="151">
          <cell r="C151">
            <v>4272</v>
          </cell>
          <cell r="D151" t="str">
            <v>Bradfield School</v>
          </cell>
          <cell r="E151" t="str">
            <v>Secondary</v>
          </cell>
          <cell r="F151" t="str">
            <v>Academy converter</v>
          </cell>
          <cell r="G151" t="str">
            <v>Academy</v>
          </cell>
          <cell r="H151" t="str">
            <v>Rest</v>
          </cell>
          <cell r="I151">
            <v>16.399999999999999</v>
          </cell>
          <cell r="J151">
            <v>0</v>
          </cell>
          <cell r="K151">
            <v>17.760000000000002</v>
          </cell>
          <cell r="L151">
            <v>0</v>
          </cell>
          <cell r="M151">
            <v>26.54</v>
          </cell>
          <cell r="N151">
            <v>1135.2879023749999</v>
          </cell>
          <cell r="O151">
            <v>30131</v>
          </cell>
          <cell r="P151">
            <v>30131</v>
          </cell>
          <cell r="Q151">
            <v>30131</v>
          </cell>
        </row>
        <row r="152">
          <cell r="C152">
            <v>4000</v>
          </cell>
          <cell r="D152" t="str">
            <v>Chaucer School</v>
          </cell>
          <cell r="E152" t="str">
            <v>Secondary</v>
          </cell>
          <cell r="F152" t="str">
            <v>Academy sponsor led</v>
          </cell>
          <cell r="G152" t="str">
            <v>Academy</v>
          </cell>
          <cell r="H152" t="str">
            <v>Rest</v>
          </cell>
          <cell r="I152">
            <v>16.399999999999999</v>
          </cell>
          <cell r="J152">
            <v>0</v>
          </cell>
          <cell r="K152">
            <v>17.760000000000002</v>
          </cell>
          <cell r="L152">
            <v>0</v>
          </cell>
          <cell r="M152">
            <v>26.54</v>
          </cell>
          <cell r="N152">
            <v>824</v>
          </cell>
          <cell r="O152">
            <v>21869</v>
          </cell>
          <cell r="P152">
            <v>21869</v>
          </cell>
          <cell r="Q152">
            <v>21869</v>
          </cell>
        </row>
        <row r="153">
          <cell r="C153">
            <v>4012</v>
          </cell>
          <cell r="D153" t="str">
            <v>Ecclesfield School</v>
          </cell>
          <cell r="E153" t="str">
            <v>Secondary</v>
          </cell>
          <cell r="F153" t="str">
            <v>Academy sponsor led</v>
          </cell>
          <cell r="G153" t="str">
            <v>Academy</v>
          </cell>
          <cell r="H153" t="str">
            <v>Rest</v>
          </cell>
          <cell r="I153">
            <v>16.399999999999999</v>
          </cell>
          <cell r="J153">
            <v>0</v>
          </cell>
          <cell r="K153">
            <v>17.760000000000002</v>
          </cell>
          <cell r="L153">
            <v>0</v>
          </cell>
          <cell r="M153">
            <v>26.54</v>
          </cell>
          <cell r="N153">
            <v>1718</v>
          </cell>
          <cell r="O153">
            <v>45596</v>
          </cell>
          <cell r="P153">
            <v>45596</v>
          </cell>
          <cell r="Q153">
            <v>45596</v>
          </cell>
        </row>
        <row r="154">
          <cell r="C154">
            <v>4280</v>
          </cell>
          <cell r="D154" t="str">
            <v>Fir Vale School</v>
          </cell>
          <cell r="E154" t="str">
            <v>Secondary</v>
          </cell>
          <cell r="F154" t="str">
            <v>Academy converter</v>
          </cell>
          <cell r="G154" t="str">
            <v>Academy</v>
          </cell>
          <cell r="H154" t="str">
            <v>Rest</v>
          </cell>
          <cell r="I154">
            <v>16.399999999999999</v>
          </cell>
          <cell r="J154">
            <v>0</v>
          </cell>
          <cell r="K154">
            <v>17.760000000000002</v>
          </cell>
          <cell r="L154">
            <v>0</v>
          </cell>
          <cell r="M154">
            <v>26.54</v>
          </cell>
          <cell r="N154">
            <v>1007</v>
          </cell>
          <cell r="O154">
            <v>26726</v>
          </cell>
          <cell r="P154">
            <v>26726</v>
          </cell>
          <cell r="Q154">
            <v>26726</v>
          </cell>
        </row>
        <row r="155">
          <cell r="C155">
            <v>4003</v>
          </cell>
          <cell r="D155" t="str">
            <v>Firth Park Academy</v>
          </cell>
          <cell r="E155" t="str">
            <v>Secondary</v>
          </cell>
          <cell r="F155" t="str">
            <v>Academy sponsor led</v>
          </cell>
          <cell r="G155" t="str">
            <v>Academy</v>
          </cell>
          <cell r="H155" t="str">
            <v>Rest</v>
          </cell>
          <cell r="I155">
            <v>16.399999999999999</v>
          </cell>
          <cell r="J155">
            <v>1</v>
          </cell>
          <cell r="K155">
            <v>17.760000000000002</v>
          </cell>
          <cell r="L155">
            <v>1</v>
          </cell>
          <cell r="M155">
            <v>26.54</v>
          </cell>
          <cell r="N155">
            <v>1148</v>
          </cell>
          <cell r="O155">
            <v>30485</v>
          </cell>
          <cell r="P155">
            <v>30486</v>
          </cell>
          <cell r="Q155">
            <v>30486</v>
          </cell>
        </row>
        <row r="156">
          <cell r="C156">
            <v>4007</v>
          </cell>
          <cell r="D156" t="str">
            <v>Forge Valley School</v>
          </cell>
          <cell r="E156" t="str">
            <v>Secondary</v>
          </cell>
          <cell r="F156" t="str">
            <v>Academy sponsor led</v>
          </cell>
          <cell r="G156" t="str">
            <v>Academy</v>
          </cell>
          <cell r="H156" t="str">
            <v>Rest</v>
          </cell>
          <cell r="I156">
            <v>16.399999999999999</v>
          </cell>
          <cell r="J156">
            <v>0</v>
          </cell>
          <cell r="K156">
            <v>17.760000000000002</v>
          </cell>
          <cell r="L156">
            <v>0</v>
          </cell>
          <cell r="M156">
            <v>26.54</v>
          </cell>
          <cell r="N156">
            <v>1243.3281769749999</v>
          </cell>
          <cell r="O156">
            <v>32998</v>
          </cell>
          <cell r="P156">
            <v>32998</v>
          </cell>
          <cell r="Q156">
            <v>32998</v>
          </cell>
        </row>
        <row r="157">
          <cell r="C157">
            <v>4278</v>
          </cell>
          <cell r="D157" t="str">
            <v>Handsworth Grange Community Sports College</v>
          </cell>
          <cell r="E157" t="str">
            <v>Secondary</v>
          </cell>
          <cell r="F157" t="str">
            <v>Academy converter</v>
          </cell>
          <cell r="G157" t="str">
            <v>Academy</v>
          </cell>
          <cell r="H157" t="str">
            <v>Rest</v>
          </cell>
          <cell r="I157">
            <v>16.399999999999999</v>
          </cell>
          <cell r="J157">
            <v>0</v>
          </cell>
          <cell r="K157">
            <v>17.760000000000002</v>
          </cell>
          <cell r="L157">
            <v>0</v>
          </cell>
          <cell r="M157">
            <v>26.54</v>
          </cell>
          <cell r="N157">
            <v>1014</v>
          </cell>
          <cell r="O157">
            <v>26912</v>
          </cell>
          <cell r="P157">
            <v>26912</v>
          </cell>
          <cell r="Q157">
            <v>26912</v>
          </cell>
        </row>
        <row r="158">
          <cell r="C158">
            <v>4257</v>
          </cell>
          <cell r="D158" t="str">
            <v>High Storrs School</v>
          </cell>
          <cell r="E158" t="str">
            <v>Secondary</v>
          </cell>
          <cell r="F158" t="str">
            <v>Academy converter</v>
          </cell>
          <cell r="G158" t="str">
            <v>Academy</v>
          </cell>
          <cell r="H158" t="str">
            <v>Rest</v>
          </cell>
          <cell r="I158">
            <v>16.399999999999999</v>
          </cell>
          <cell r="J158">
            <v>0</v>
          </cell>
          <cell r="K158">
            <v>17.760000000000002</v>
          </cell>
          <cell r="L158">
            <v>0</v>
          </cell>
          <cell r="M158">
            <v>26.54</v>
          </cell>
          <cell r="N158">
            <v>1547.0063642</v>
          </cell>
          <cell r="O158">
            <v>41058</v>
          </cell>
          <cell r="P158">
            <v>41058</v>
          </cell>
          <cell r="Q158">
            <v>41058</v>
          </cell>
        </row>
        <row r="159">
          <cell r="C159">
            <v>4230</v>
          </cell>
          <cell r="D159" t="str">
            <v>King Ecgbert School</v>
          </cell>
          <cell r="E159" t="str">
            <v>Secondary</v>
          </cell>
          <cell r="F159" t="str">
            <v>Academy converter</v>
          </cell>
          <cell r="G159" t="str">
            <v>Academy</v>
          </cell>
          <cell r="H159" t="str">
            <v>Rest</v>
          </cell>
          <cell r="I159">
            <v>16.399999999999999</v>
          </cell>
          <cell r="J159">
            <v>0</v>
          </cell>
          <cell r="K159">
            <v>17.760000000000002</v>
          </cell>
          <cell r="L159">
            <v>0</v>
          </cell>
          <cell r="M159">
            <v>26.54</v>
          </cell>
          <cell r="N159">
            <v>1285.4560747999999</v>
          </cell>
          <cell r="O159">
            <v>34117</v>
          </cell>
          <cell r="P159">
            <v>34117</v>
          </cell>
          <cell r="Q159">
            <v>34117</v>
          </cell>
        </row>
        <row r="160">
          <cell r="C160">
            <v>4259</v>
          </cell>
          <cell r="D160" t="str">
            <v>King Edward VII School</v>
          </cell>
          <cell r="E160" t="str">
            <v>Secondary</v>
          </cell>
          <cell r="F160" t="str">
            <v>Community school</v>
          </cell>
          <cell r="G160" t="str">
            <v>Maintained School</v>
          </cell>
          <cell r="H160" t="str">
            <v>Rest</v>
          </cell>
          <cell r="I160">
            <v>16.399999999999999</v>
          </cell>
          <cell r="J160">
            <v>0</v>
          </cell>
          <cell r="K160">
            <v>17.760000000000002</v>
          </cell>
          <cell r="L160">
            <v>0</v>
          </cell>
          <cell r="M160">
            <v>26.54</v>
          </cell>
          <cell r="N160">
            <v>1685.7894587000001</v>
          </cell>
          <cell r="O160">
            <v>44741</v>
          </cell>
          <cell r="P160">
            <v>44741</v>
          </cell>
          <cell r="Q160">
            <v>44741</v>
          </cell>
        </row>
        <row r="161">
          <cell r="C161">
            <v>4279</v>
          </cell>
          <cell r="D161" t="str">
            <v>Meadowhead School Academy Trust</v>
          </cell>
          <cell r="E161" t="str">
            <v>Secondary</v>
          </cell>
          <cell r="F161" t="str">
            <v>Academy converter</v>
          </cell>
          <cell r="G161" t="str">
            <v>Academy</v>
          </cell>
          <cell r="H161" t="str">
            <v>Rest</v>
          </cell>
          <cell r="I161">
            <v>16.399999999999999</v>
          </cell>
          <cell r="J161">
            <v>0</v>
          </cell>
          <cell r="K161">
            <v>17.760000000000002</v>
          </cell>
          <cell r="L161">
            <v>0</v>
          </cell>
          <cell r="M161">
            <v>26.54</v>
          </cell>
          <cell r="N161">
            <v>1845.560835625</v>
          </cell>
          <cell r="O161">
            <v>48982</v>
          </cell>
          <cell r="P161">
            <v>48982</v>
          </cell>
          <cell r="Q161">
            <v>48982</v>
          </cell>
        </row>
        <row r="162">
          <cell r="C162">
            <v>4015</v>
          </cell>
          <cell r="D162" t="str">
            <v>Mercia School</v>
          </cell>
          <cell r="E162" t="str">
            <v>Secondary</v>
          </cell>
          <cell r="F162" t="str">
            <v>Free schools</v>
          </cell>
          <cell r="G162" t="str">
            <v>Academy</v>
          </cell>
          <cell r="H162" t="str">
            <v>Rest</v>
          </cell>
          <cell r="I162">
            <v>16.399999999999999</v>
          </cell>
          <cell r="J162">
            <v>0</v>
          </cell>
          <cell r="K162">
            <v>17.760000000000002</v>
          </cell>
          <cell r="L162">
            <v>0</v>
          </cell>
          <cell r="M162">
            <v>26.54</v>
          </cell>
          <cell r="N162">
            <v>100</v>
          </cell>
          <cell r="O162">
            <v>2654</v>
          </cell>
          <cell r="P162">
            <v>2654</v>
          </cell>
          <cell r="Q162">
            <v>2654</v>
          </cell>
        </row>
        <row r="163">
          <cell r="C163">
            <v>4008</v>
          </cell>
          <cell r="D163" t="str">
            <v>Newfield Secondary School</v>
          </cell>
          <cell r="E163" t="str">
            <v>Secondary</v>
          </cell>
          <cell r="F163" t="str">
            <v>Academy sponsor led</v>
          </cell>
          <cell r="G163" t="str">
            <v>Academy</v>
          </cell>
          <cell r="H163" t="str">
            <v>Rest</v>
          </cell>
          <cell r="I163">
            <v>16.399999999999999</v>
          </cell>
          <cell r="J163">
            <v>0</v>
          </cell>
          <cell r="K163">
            <v>17.760000000000002</v>
          </cell>
          <cell r="L163">
            <v>0</v>
          </cell>
          <cell r="M163">
            <v>26.54</v>
          </cell>
          <cell r="N163">
            <v>1005</v>
          </cell>
          <cell r="O163">
            <v>26673</v>
          </cell>
          <cell r="P163">
            <v>26673</v>
          </cell>
          <cell r="Q163">
            <v>26673</v>
          </cell>
        </row>
        <row r="164">
          <cell r="C164">
            <v>5400</v>
          </cell>
          <cell r="D164" t="str">
            <v>Notre Dame High School</v>
          </cell>
          <cell r="E164" t="str">
            <v>Secondary</v>
          </cell>
          <cell r="F164" t="str">
            <v>Academy converter</v>
          </cell>
          <cell r="G164" t="str">
            <v>Academy</v>
          </cell>
          <cell r="H164" t="str">
            <v>Rest</v>
          </cell>
          <cell r="I164">
            <v>16.399999999999999</v>
          </cell>
          <cell r="J164">
            <v>0</v>
          </cell>
          <cell r="K164">
            <v>17.760000000000002</v>
          </cell>
          <cell r="L164">
            <v>0</v>
          </cell>
          <cell r="M164">
            <v>26.54</v>
          </cell>
          <cell r="N164">
            <v>1442.7257447249999</v>
          </cell>
          <cell r="O164">
            <v>38290</v>
          </cell>
          <cell r="P164">
            <v>38290</v>
          </cell>
          <cell r="Q164">
            <v>38290</v>
          </cell>
        </row>
        <row r="165">
          <cell r="C165">
            <v>4006</v>
          </cell>
          <cell r="D165" t="str">
            <v>Outwood Academy City</v>
          </cell>
          <cell r="E165" t="str">
            <v>Secondary</v>
          </cell>
          <cell r="F165" t="str">
            <v>Academy sponsor led</v>
          </cell>
          <cell r="G165" t="str">
            <v>Academy</v>
          </cell>
          <cell r="H165" t="str">
            <v>Rest</v>
          </cell>
          <cell r="I165">
            <v>16.399999999999999</v>
          </cell>
          <cell r="J165">
            <v>0</v>
          </cell>
          <cell r="K165">
            <v>17.760000000000002</v>
          </cell>
          <cell r="L165">
            <v>0</v>
          </cell>
          <cell r="M165">
            <v>26.54</v>
          </cell>
          <cell r="N165">
            <v>993</v>
          </cell>
          <cell r="O165">
            <v>26355</v>
          </cell>
          <cell r="P165">
            <v>26355</v>
          </cell>
          <cell r="Q165">
            <v>26355</v>
          </cell>
        </row>
        <row r="166">
          <cell r="C166">
            <v>6907</v>
          </cell>
          <cell r="D166" t="str">
            <v>Parkwood E-Act Academy</v>
          </cell>
          <cell r="E166" t="str">
            <v>Secondary</v>
          </cell>
          <cell r="F166" t="str">
            <v>Academy sponsor led</v>
          </cell>
          <cell r="G166" t="str">
            <v>Academy</v>
          </cell>
          <cell r="H166" t="str">
            <v>Rest</v>
          </cell>
          <cell r="I166">
            <v>16.399999999999999</v>
          </cell>
          <cell r="J166">
            <v>0</v>
          </cell>
          <cell r="K166">
            <v>17.760000000000002</v>
          </cell>
          <cell r="L166">
            <v>0</v>
          </cell>
          <cell r="M166">
            <v>26.54</v>
          </cell>
          <cell r="N166">
            <v>872</v>
          </cell>
          <cell r="O166">
            <v>23143</v>
          </cell>
          <cell r="P166">
            <v>23143</v>
          </cell>
          <cell r="Q166">
            <v>23143</v>
          </cell>
        </row>
        <row r="167">
          <cell r="C167">
            <v>6905</v>
          </cell>
          <cell r="D167" t="str">
            <v>Sheffield Park Academy</v>
          </cell>
          <cell r="E167" t="str">
            <v>Secondary</v>
          </cell>
          <cell r="F167" t="str">
            <v>Academy sponsor led</v>
          </cell>
          <cell r="G167" t="str">
            <v>Academy</v>
          </cell>
          <cell r="H167" t="str">
            <v>Rest</v>
          </cell>
          <cell r="I167">
            <v>16.399999999999999</v>
          </cell>
          <cell r="J167">
            <v>0</v>
          </cell>
          <cell r="K167">
            <v>17.760000000000002</v>
          </cell>
          <cell r="L167">
            <v>0</v>
          </cell>
          <cell r="M167">
            <v>26.54</v>
          </cell>
          <cell r="N167">
            <v>1085</v>
          </cell>
          <cell r="O167">
            <v>28796</v>
          </cell>
          <cell r="P167">
            <v>28796</v>
          </cell>
          <cell r="Q167">
            <v>28796</v>
          </cell>
        </row>
        <row r="168">
          <cell r="C168">
            <v>6906</v>
          </cell>
          <cell r="D168" t="str">
            <v>Sheffield Springs Academy</v>
          </cell>
          <cell r="E168" t="str">
            <v>Secondary</v>
          </cell>
          <cell r="F168" t="str">
            <v>Academy sponsor led</v>
          </cell>
          <cell r="G168" t="str">
            <v>Academy</v>
          </cell>
          <cell r="H168" t="str">
            <v>Rest</v>
          </cell>
          <cell r="I168">
            <v>16.399999999999999</v>
          </cell>
          <cell r="J168">
            <v>0</v>
          </cell>
          <cell r="K168">
            <v>17.760000000000002</v>
          </cell>
          <cell r="L168">
            <v>0</v>
          </cell>
          <cell r="M168">
            <v>26.54</v>
          </cell>
          <cell r="N168">
            <v>687</v>
          </cell>
          <cell r="O168">
            <v>18233</v>
          </cell>
          <cell r="P168">
            <v>18233</v>
          </cell>
          <cell r="Q168">
            <v>18233</v>
          </cell>
        </row>
        <row r="169">
          <cell r="C169">
            <v>4229</v>
          </cell>
          <cell r="D169" t="str">
            <v>Silverdale School</v>
          </cell>
          <cell r="E169" t="str">
            <v>Secondary</v>
          </cell>
          <cell r="F169" t="str">
            <v>Academy converter</v>
          </cell>
          <cell r="G169" t="str">
            <v>Academy</v>
          </cell>
          <cell r="H169" t="str">
            <v>Rest</v>
          </cell>
          <cell r="I169">
            <v>16.399999999999999</v>
          </cell>
          <cell r="J169">
            <v>0</v>
          </cell>
          <cell r="K169">
            <v>17.760000000000002</v>
          </cell>
          <cell r="L169">
            <v>0</v>
          </cell>
          <cell r="M169">
            <v>26.54</v>
          </cell>
          <cell r="N169">
            <v>1287.8806201499999</v>
          </cell>
          <cell r="O169">
            <v>34181</v>
          </cell>
          <cell r="P169">
            <v>34181</v>
          </cell>
          <cell r="Q169">
            <v>34181</v>
          </cell>
        </row>
        <row r="170">
          <cell r="C170">
            <v>4271</v>
          </cell>
          <cell r="D170" t="str">
            <v>Stocksbridge High School</v>
          </cell>
          <cell r="E170" t="str">
            <v>Secondary</v>
          </cell>
          <cell r="F170" t="str">
            <v>Academy converter</v>
          </cell>
          <cell r="G170" t="str">
            <v>Academy</v>
          </cell>
          <cell r="H170" t="str">
            <v>Rest</v>
          </cell>
          <cell r="I170">
            <v>16.399999999999999</v>
          </cell>
          <cell r="J170">
            <v>0</v>
          </cell>
          <cell r="K170">
            <v>17.760000000000002</v>
          </cell>
          <cell r="L170">
            <v>0</v>
          </cell>
          <cell r="M170">
            <v>26.54</v>
          </cell>
          <cell r="N170">
            <v>812</v>
          </cell>
          <cell r="O170">
            <v>21551</v>
          </cell>
          <cell r="P170">
            <v>21551</v>
          </cell>
          <cell r="Q170">
            <v>21551</v>
          </cell>
        </row>
        <row r="171">
          <cell r="C171">
            <v>4234</v>
          </cell>
          <cell r="D171" t="str">
            <v>Tapton School</v>
          </cell>
          <cell r="E171" t="str">
            <v>Secondary</v>
          </cell>
          <cell r="F171" t="str">
            <v>Academy converter</v>
          </cell>
          <cell r="G171" t="str">
            <v>Academy</v>
          </cell>
          <cell r="H171" t="str">
            <v>Rest</v>
          </cell>
          <cell r="I171">
            <v>16.399999999999999</v>
          </cell>
          <cell r="J171">
            <v>0</v>
          </cell>
          <cell r="K171">
            <v>17.760000000000002</v>
          </cell>
          <cell r="L171">
            <v>0</v>
          </cell>
          <cell r="M171">
            <v>26.54</v>
          </cell>
          <cell r="N171">
            <v>1659.6026775583332</v>
          </cell>
          <cell r="O171">
            <v>44046</v>
          </cell>
          <cell r="P171">
            <v>44046</v>
          </cell>
          <cell r="Q171">
            <v>44046</v>
          </cell>
        </row>
        <row r="172">
          <cell r="C172">
            <v>4276</v>
          </cell>
          <cell r="D172" t="str">
            <v>The Birley Academy</v>
          </cell>
          <cell r="E172" t="str">
            <v>Secondary</v>
          </cell>
          <cell r="F172" t="str">
            <v>Academy converter</v>
          </cell>
          <cell r="G172" t="str">
            <v>Academy</v>
          </cell>
          <cell r="H172" t="str">
            <v>Rest</v>
          </cell>
          <cell r="I172">
            <v>16.399999999999999</v>
          </cell>
          <cell r="J172">
            <v>0</v>
          </cell>
          <cell r="K172">
            <v>17.760000000000002</v>
          </cell>
          <cell r="L172">
            <v>0</v>
          </cell>
          <cell r="M172">
            <v>26.54</v>
          </cell>
          <cell r="N172">
            <v>1155</v>
          </cell>
          <cell r="O172">
            <v>30654</v>
          </cell>
          <cell r="P172">
            <v>30654</v>
          </cell>
          <cell r="Q172">
            <v>30654</v>
          </cell>
        </row>
        <row r="173">
          <cell r="C173">
            <v>4004</v>
          </cell>
          <cell r="D173" t="str">
            <v>UTC Sheffield</v>
          </cell>
          <cell r="E173" t="str">
            <v>Secondary</v>
          </cell>
          <cell r="F173" t="str">
            <v>University technical college</v>
          </cell>
          <cell r="G173" t="str">
            <v>Academy</v>
          </cell>
          <cell r="H173" t="str">
            <v>Rest</v>
          </cell>
          <cell r="I173">
            <v>16.399999999999999</v>
          </cell>
          <cell r="J173">
            <v>0</v>
          </cell>
          <cell r="K173">
            <v>17.760000000000002</v>
          </cell>
          <cell r="L173">
            <v>0</v>
          </cell>
          <cell r="M173">
            <v>26.54</v>
          </cell>
          <cell r="N173">
            <v>417.50755750000002</v>
          </cell>
          <cell r="O173">
            <v>11081</v>
          </cell>
          <cell r="P173">
            <v>11081</v>
          </cell>
          <cell r="Q173">
            <v>11081</v>
          </cell>
        </row>
        <row r="174">
          <cell r="C174">
            <v>4010</v>
          </cell>
          <cell r="D174" t="str">
            <v>UTC Sheffield Olympic Legacy Park</v>
          </cell>
          <cell r="E174" t="str">
            <v>Secondary</v>
          </cell>
          <cell r="F174" t="str">
            <v>University technical college</v>
          </cell>
          <cell r="G174" t="str">
            <v>Academy</v>
          </cell>
          <cell r="H174" t="str">
            <v>Rest</v>
          </cell>
          <cell r="I174">
            <v>16.399999999999999</v>
          </cell>
          <cell r="J174">
            <v>0</v>
          </cell>
          <cell r="K174">
            <v>17.760000000000002</v>
          </cell>
          <cell r="L174">
            <v>0</v>
          </cell>
          <cell r="M174">
            <v>26.54</v>
          </cell>
          <cell r="N174">
            <v>320</v>
          </cell>
          <cell r="O174">
            <v>8493</v>
          </cell>
          <cell r="P174">
            <v>8493</v>
          </cell>
          <cell r="Q174">
            <v>8493</v>
          </cell>
        </row>
        <row r="175">
          <cell r="C175">
            <v>4252</v>
          </cell>
          <cell r="D175" t="str">
            <v>Westfield School</v>
          </cell>
          <cell r="E175" t="str">
            <v>Secondary</v>
          </cell>
          <cell r="F175" t="str">
            <v>Foundation school</v>
          </cell>
          <cell r="G175" t="str">
            <v>Maintained School</v>
          </cell>
          <cell r="H175" t="str">
            <v>Rest</v>
          </cell>
          <cell r="I175">
            <v>16.399999999999999</v>
          </cell>
          <cell r="J175">
            <v>0</v>
          </cell>
          <cell r="K175">
            <v>17.760000000000002</v>
          </cell>
          <cell r="L175">
            <v>0</v>
          </cell>
          <cell r="M175">
            <v>26.54</v>
          </cell>
          <cell r="N175">
            <v>1176</v>
          </cell>
          <cell r="O175">
            <v>31212</v>
          </cell>
          <cell r="P175">
            <v>31212</v>
          </cell>
          <cell r="Q175">
            <v>31212</v>
          </cell>
        </row>
        <row r="176">
          <cell r="C176">
            <v>4016</v>
          </cell>
          <cell r="D176" t="str">
            <v>Yewlands Academy</v>
          </cell>
          <cell r="E176" t="str">
            <v>Secondary</v>
          </cell>
          <cell r="F176" t="str">
            <v>Academy sponsor led</v>
          </cell>
          <cell r="G176" t="str">
            <v>Academy</v>
          </cell>
          <cell r="H176" t="str">
            <v>Rest</v>
          </cell>
          <cell r="I176">
            <v>16.399999999999999</v>
          </cell>
          <cell r="J176">
            <v>0</v>
          </cell>
          <cell r="K176">
            <v>17.760000000000002</v>
          </cell>
          <cell r="L176">
            <v>0</v>
          </cell>
          <cell r="M176">
            <v>26.54</v>
          </cell>
          <cell r="N176">
            <v>858</v>
          </cell>
          <cell r="O176">
            <v>22772</v>
          </cell>
          <cell r="P176">
            <v>22772</v>
          </cell>
          <cell r="Q176">
            <v>22772</v>
          </cell>
        </row>
        <row r="178">
          <cell r="C178">
            <v>4014</v>
          </cell>
          <cell r="D178" t="str">
            <v>Astrea Academy Sheffield</v>
          </cell>
          <cell r="E178" t="str">
            <v>All through</v>
          </cell>
          <cell r="F178" t="str">
            <v>Free schools</v>
          </cell>
          <cell r="G178" t="str">
            <v>Academy</v>
          </cell>
          <cell r="H178" t="str">
            <v>Rest</v>
          </cell>
          <cell r="I178">
            <v>16.399999999999999</v>
          </cell>
          <cell r="J178">
            <v>0</v>
          </cell>
          <cell r="K178">
            <v>17.760000000000002</v>
          </cell>
          <cell r="L178">
            <v>0</v>
          </cell>
          <cell r="M178">
            <v>26.54</v>
          </cell>
          <cell r="N178">
            <v>100</v>
          </cell>
          <cell r="O178">
            <v>2654</v>
          </cell>
          <cell r="P178">
            <v>2654</v>
          </cell>
          <cell r="Q178">
            <v>2654</v>
          </cell>
        </row>
        <row r="179">
          <cell r="C179">
            <v>4225</v>
          </cell>
          <cell r="D179" t="str">
            <v>Hinde House 3-16 School</v>
          </cell>
          <cell r="E179" t="str">
            <v>All through</v>
          </cell>
          <cell r="F179" t="str">
            <v>Academy converter</v>
          </cell>
          <cell r="G179" t="str">
            <v>Academy</v>
          </cell>
          <cell r="H179" t="str">
            <v>Rest</v>
          </cell>
          <cell r="I179">
            <v>16.399999999999999</v>
          </cell>
          <cell r="J179">
            <v>548</v>
          </cell>
          <cell r="K179">
            <v>17.760000000000002</v>
          </cell>
          <cell r="L179">
            <v>502</v>
          </cell>
          <cell r="M179">
            <v>26.54</v>
          </cell>
          <cell r="N179">
            <v>835</v>
          </cell>
          <cell r="O179">
            <v>31149</v>
          </cell>
          <cell r="P179">
            <v>31077</v>
          </cell>
          <cell r="Q179">
            <v>31149</v>
          </cell>
        </row>
        <row r="180">
          <cell r="C180">
            <v>4005</v>
          </cell>
          <cell r="D180" t="str">
            <v>Oasis Academy Don Valley</v>
          </cell>
          <cell r="E180" t="str">
            <v>All through</v>
          </cell>
          <cell r="F180" t="str">
            <v>Academy sponsor led</v>
          </cell>
          <cell r="G180" t="str">
            <v>Academy</v>
          </cell>
          <cell r="H180" t="str">
            <v>Rest</v>
          </cell>
          <cell r="I180">
            <v>16.399999999999999</v>
          </cell>
          <cell r="J180">
            <v>320</v>
          </cell>
          <cell r="K180">
            <v>17.760000000000002</v>
          </cell>
          <cell r="L180">
            <v>281</v>
          </cell>
          <cell r="M180">
            <v>26.54</v>
          </cell>
          <cell r="N180">
            <v>0</v>
          </cell>
          <cell r="O180">
            <v>5248</v>
          </cell>
          <cell r="P180">
            <v>4991</v>
          </cell>
          <cell r="Q180">
            <v>5248</v>
          </cell>
        </row>
        <row r="182">
          <cell r="D182" t="str">
            <v>Total Mainstream</v>
          </cell>
          <cell r="L182">
            <v>48516</v>
          </cell>
          <cell r="N182">
            <v>30621.29845090834</v>
          </cell>
          <cell r="O182">
            <v>1673980</v>
          </cell>
          <cell r="P182">
            <v>1674407</v>
          </cell>
          <cell r="Q182">
            <v>1683852</v>
          </cell>
        </row>
        <row r="184">
          <cell r="L184" t="str">
            <v>(Places)</v>
          </cell>
        </row>
        <row r="185">
          <cell r="C185">
            <v>7010</v>
          </cell>
          <cell r="D185" t="str">
            <v>Bents Green School</v>
          </cell>
          <cell r="G185" t="str">
            <v>Maintained School</v>
          </cell>
          <cell r="K185">
            <v>65.650000000000006</v>
          </cell>
          <cell r="L185">
            <v>197</v>
          </cell>
          <cell r="Q185">
            <v>12933.050000000001</v>
          </cell>
        </row>
        <row r="186">
          <cell r="C186">
            <v>7013</v>
          </cell>
          <cell r="D186" t="str">
            <v>The Rowan School</v>
          </cell>
          <cell r="G186" t="str">
            <v>Maintained School</v>
          </cell>
          <cell r="K186">
            <v>65.650000000000006</v>
          </cell>
          <cell r="L186">
            <v>95</v>
          </cell>
          <cell r="Q186">
            <v>6236.7500000000009</v>
          </cell>
        </row>
        <row r="187">
          <cell r="C187">
            <v>7023</v>
          </cell>
          <cell r="D187" t="str">
            <v>Norfolk Park School</v>
          </cell>
          <cell r="G187" t="str">
            <v>Maintained School</v>
          </cell>
          <cell r="K187">
            <v>65.650000000000006</v>
          </cell>
          <cell r="L187">
            <v>88</v>
          </cell>
          <cell r="Q187">
            <v>5777.2000000000007</v>
          </cell>
        </row>
        <row r="188">
          <cell r="C188">
            <v>7024</v>
          </cell>
          <cell r="D188" t="str">
            <v>Talbot Specialist School</v>
          </cell>
          <cell r="G188" t="str">
            <v>Maintained School</v>
          </cell>
          <cell r="K188">
            <v>65.650000000000006</v>
          </cell>
          <cell r="L188">
            <v>158</v>
          </cell>
          <cell r="Q188">
            <v>10372.700000000001</v>
          </cell>
        </row>
        <row r="189">
          <cell r="C189">
            <v>7026</v>
          </cell>
          <cell r="D189" t="str">
            <v>Woolley Wood School</v>
          </cell>
          <cell r="G189" t="str">
            <v>Maintained School</v>
          </cell>
          <cell r="K189">
            <v>65.650000000000006</v>
          </cell>
          <cell r="L189">
            <v>99</v>
          </cell>
          <cell r="Q189">
            <v>6499.35</v>
          </cell>
        </row>
        <row r="190">
          <cell r="C190">
            <v>7036</v>
          </cell>
          <cell r="D190" t="str">
            <v>Mossbrook School</v>
          </cell>
          <cell r="G190" t="str">
            <v>Maintained School</v>
          </cell>
          <cell r="K190">
            <v>65.650000000000006</v>
          </cell>
          <cell r="L190">
            <v>93</v>
          </cell>
          <cell r="Q190">
            <v>6105.4500000000007</v>
          </cell>
        </row>
        <row r="191">
          <cell r="C191">
            <v>7038</v>
          </cell>
          <cell r="D191" t="str">
            <v>Becton School</v>
          </cell>
          <cell r="G191" t="str">
            <v>Maintained School</v>
          </cell>
          <cell r="K191">
            <v>65.650000000000006</v>
          </cell>
          <cell r="L191">
            <v>70</v>
          </cell>
          <cell r="Q191">
            <v>4595.5</v>
          </cell>
        </row>
        <row r="192">
          <cell r="C192">
            <v>7040</v>
          </cell>
          <cell r="D192" t="str">
            <v>Heritage Park School</v>
          </cell>
          <cell r="G192" t="str">
            <v>Maintained School</v>
          </cell>
          <cell r="K192">
            <v>65.650000000000006</v>
          </cell>
          <cell r="L192">
            <v>102</v>
          </cell>
          <cell r="Q192">
            <v>6696.3</v>
          </cell>
        </row>
        <row r="193">
          <cell r="C193">
            <v>7041</v>
          </cell>
          <cell r="D193" t="str">
            <v>Holgate Meadows School</v>
          </cell>
          <cell r="G193" t="str">
            <v>Maintained School</v>
          </cell>
          <cell r="K193">
            <v>65.650000000000006</v>
          </cell>
          <cell r="L193">
            <v>86</v>
          </cell>
          <cell r="Q193">
            <v>5645.9000000000005</v>
          </cell>
        </row>
        <row r="194">
          <cell r="C194">
            <v>7043</v>
          </cell>
          <cell r="D194" t="str">
            <v>Seven Hills School</v>
          </cell>
          <cell r="G194" t="str">
            <v>Maintained School</v>
          </cell>
          <cell r="K194">
            <v>65.650000000000006</v>
          </cell>
          <cell r="L194">
            <v>164</v>
          </cell>
          <cell r="Q194">
            <v>10766.6</v>
          </cell>
        </row>
        <row r="195">
          <cell r="C195">
            <v>1100</v>
          </cell>
          <cell r="D195" t="str">
            <v>Sheffield Inclusion Centre</v>
          </cell>
          <cell r="G195" t="str">
            <v>Maintained School</v>
          </cell>
          <cell r="K195">
            <v>65.650000000000006</v>
          </cell>
          <cell r="L195">
            <v>142</v>
          </cell>
          <cell r="Q195">
            <v>9322.3000000000011</v>
          </cell>
        </row>
        <row r="197">
          <cell r="D197" t="str">
            <v>Total Special</v>
          </cell>
          <cell r="L197">
            <v>1294</v>
          </cell>
          <cell r="N197">
            <v>0</v>
          </cell>
          <cell r="O197">
            <v>0</v>
          </cell>
          <cell r="P197">
            <v>0</v>
          </cell>
          <cell r="Q197">
            <v>84951.1</v>
          </cell>
        </row>
        <row r="199">
          <cell r="D199" t="str">
            <v>TOTAL ALL SCHOOLS</v>
          </cell>
          <cell r="L199">
            <v>49810</v>
          </cell>
          <cell r="M199">
            <v>0</v>
          </cell>
          <cell r="N199">
            <v>30621.29845090834</v>
          </cell>
          <cell r="O199">
            <v>1673980</v>
          </cell>
          <cell r="P199">
            <v>1674407</v>
          </cell>
          <cell r="Q199">
            <v>1768803.1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stream"/>
      <sheetName val="Special"/>
      <sheetName val="Rates"/>
      <sheetName val="All Sch Incl Acad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TEACHERS' PAY GRANT REVENUE ALLOCATIONS ESTIMATED FOR 2019-20</v>
          </cell>
        </row>
        <row r="3">
          <cell r="E3" t="str">
            <v>Pupil Nos. Oct 18</v>
          </cell>
        </row>
        <row r="4">
          <cell r="A4" t="str">
            <v>DfE</v>
          </cell>
          <cell r="B4" t="str">
            <v>Establishment Name</v>
          </cell>
          <cell r="C4" t="str">
            <v>Phase</v>
          </cell>
          <cell r="D4" t="str">
            <v>Establishment Type</v>
          </cell>
          <cell r="E4" t="str">
            <v>Primary</v>
          </cell>
          <cell r="F4" t="str">
            <v>Secondary</v>
          </cell>
          <cell r="G4" t="str">
            <v>Special (Places)</v>
          </cell>
          <cell r="H4" t="str">
            <v>Estimated Allocation</v>
          </cell>
        </row>
        <row r="6">
          <cell r="E6">
            <v>28.29</v>
          </cell>
        </row>
        <row r="8">
          <cell r="A8">
            <v>2001</v>
          </cell>
          <cell r="B8" t="str">
            <v>Abbey Lane Primary School</v>
          </cell>
          <cell r="C8" t="str">
            <v>Primary</v>
          </cell>
          <cell r="D8">
            <v>0</v>
          </cell>
          <cell r="E8">
            <v>573</v>
          </cell>
          <cell r="H8">
            <v>16210.17</v>
          </cell>
        </row>
        <row r="9">
          <cell r="A9">
            <v>2046</v>
          </cell>
          <cell r="B9" t="str">
            <v>Abbeyfield Primary Academy</v>
          </cell>
          <cell r="C9" t="str">
            <v>Primary</v>
          </cell>
          <cell r="D9" t="str">
            <v>Recoupment Academy</v>
          </cell>
          <cell r="E9">
            <v>456</v>
          </cell>
          <cell r="H9">
            <v>12900.24</v>
          </cell>
        </row>
        <row r="10">
          <cell r="A10">
            <v>2048</v>
          </cell>
          <cell r="B10" t="str">
            <v>Acres Hill Community Primary School</v>
          </cell>
          <cell r="C10" t="str">
            <v>Primary</v>
          </cell>
          <cell r="D10" t="str">
            <v>Recoupment Academy</v>
          </cell>
          <cell r="E10">
            <v>280</v>
          </cell>
          <cell r="H10">
            <v>7921.2</v>
          </cell>
        </row>
        <row r="11">
          <cell r="A11">
            <v>2342</v>
          </cell>
          <cell r="B11" t="str">
            <v>Angram Bank Primary School</v>
          </cell>
          <cell r="C11" t="str">
            <v>Primary</v>
          </cell>
          <cell r="D11">
            <v>0</v>
          </cell>
          <cell r="E11">
            <v>260</v>
          </cell>
          <cell r="H11">
            <v>7355.4</v>
          </cell>
        </row>
        <row r="12">
          <cell r="A12">
            <v>2343</v>
          </cell>
          <cell r="B12" t="str">
            <v>Anns Grove Primary School</v>
          </cell>
          <cell r="C12" t="str">
            <v>Primary</v>
          </cell>
          <cell r="D12">
            <v>0</v>
          </cell>
          <cell r="E12">
            <v>333</v>
          </cell>
          <cell r="H12">
            <v>9420.57</v>
          </cell>
        </row>
        <row r="13">
          <cell r="A13">
            <v>3429</v>
          </cell>
          <cell r="B13" t="str">
            <v>Arbourthorne Community Primary School</v>
          </cell>
          <cell r="C13" t="str">
            <v>Primary</v>
          </cell>
          <cell r="D13">
            <v>0</v>
          </cell>
          <cell r="E13">
            <v>432</v>
          </cell>
          <cell r="H13">
            <v>12221.279999999999</v>
          </cell>
        </row>
        <row r="14">
          <cell r="A14">
            <v>2340</v>
          </cell>
          <cell r="B14" t="str">
            <v>Athelstan Primary School</v>
          </cell>
          <cell r="C14" t="str">
            <v>Primary</v>
          </cell>
          <cell r="D14">
            <v>0</v>
          </cell>
          <cell r="E14">
            <v>603</v>
          </cell>
          <cell r="H14">
            <v>17058.87</v>
          </cell>
        </row>
        <row r="15">
          <cell r="A15">
            <v>2281</v>
          </cell>
          <cell r="B15" t="str">
            <v>Ballifield Primary School</v>
          </cell>
          <cell r="C15" t="str">
            <v>Primary</v>
          </cell>
          <cell r="D15">
            <v>0</v>
          </cell>
          <cell r="E15">
            <v>445</v>
          </cell>
          <cell r="H15">
            <v>12589.05</v>
          </cell>
        </row>
        <row r="16">
          <cell r="A16">
            <v>2322</v>
          </cell>
          <cell r="B16" t="str">
            <v>Bankwood Community Primary School</v>
          </cell>
          <cell r="C16" t="str">
            <v>Primary</v>
          </cell>
          <cell r="D16">
            <v>0</v>
          </cell>
          <cell r="E16">
            <v>400</v>
          </cell>
          <cell r="H16">
            <v>11316</v>
          </cell>
        </row>
        <row r="17">
          <cell r="A17">
            <v>2274</v>
          </cell>
          <cell r="B17" t="str">
            <v>Beck Primary School</v>
          </cell>
          <cell r="C17" t="str">
            <v>Primary</v>
          </cell>
          <cell r="D17" t="str">
            <v>Recoupment Academy</v>
          </cell>
          <cell r="E17">
            <v>734</v>
          </cell>
          <cell r="H17">
            <v>20764.86</v>
          </cell>
        </row>
        <row r="18">
          <cell r="A18">
            <v>2241</v>
          </cell>
          <cell r="B18" t="str">
            <v>Beighton Nursery Infant School</v>
          </cell>
          <cell r="C18" t="str">
            <v>Primary</v>
          </cell>
          <cell r="D18">
            <v>0</v>
          </cell>
          <cell r="E18">
            <v>312</v>
          </cell>
          <cell r="H18">
            <v>8826.48</v>
          </cell>
        </row>
        <row r="19">
          <cell r="A19">
            <v>2353</v>
          </cell>
          <cell r="B19" t="str">
            <v>Birley Primary Academy</v>
          </cell>
          <cell r="C19" t="str">
            <v>Primary</v>
          </cell>
          <cell r="D19" t="str">
            <v>Recoupment Academy</v>
          </cell>
          <cell r="E19">
            <v>619</v>
          </cell>
          <cell r="H19">
            <v>17511.509999999998</v>
          </cell>
        </row>
        <row r="20">
          <cell r="A20">
            <v>2323</v>
          </cell>
          <cell r="B20" t="str">
            <v>Birley Spa Primary Academy</v>
          </cell>
          <cell r="C20" t="str">
            <v>Primary</v>
          </cell>
          <cell r="D20" t="str">
            <v>Recoupment Academy</v>
          </cell>
          <cell r="E20">
            <v>427</v>
          </cell>
          <cell r="H20">
            <v>12079.83</v>
          </cell>
        </row>
        <row r="21">
          <cell r="A21">
            <v>2328</v>
          </cell>
          <cell r="B21" t="str">
            <v>Bradfield Dungworth Primary School</v>
          </cell>
          <cell r="C21" t="str">
            <v>Primary</v>
          </cell>
          <cell r="D21">
            <v>0</v>
          </cell>
          <cell r="E21">
            <v>107</v>
          </cell>
          <cell r="H21">
            <v>3027.0299999999997</v>
          </cell>
        </row>
        <row r="22">
          <cell r="A22">
            <v>2233</v>
          </cell>
          <cell r="B22" t="str">
            <v>Bradway Primary School</v>
          </cell>
          <cell r="C22" t="str">
            <v>Primary</v>
          </cell>
          <cell r="D22">
            <v>0</v>
          </cell>
          <cell r="E22">
            <v>402</v>
          </cell>
          <cell r="H22">
            <v>11372.58</v>
          </cell>
        </row>
        <row r="23">
          <cell r="A23">
            <v>2014</v>
          </cell>
          <cell r="B23" t="str">
            <v>Brightside Nursery and Infant School</v>
          </cell>
          <cell r="C23" t="str">
            <v>Primary</v>
          </cell>
          <cell r="D23">
            <v>0</v>
          </cell>
          <cell r="E23">
            <v>223</v>
          </cell>
          <cell r="H23">
            <v>6308.67</v>
          </cell>
        </row>
        <row r="24">
          <cell r="A24">
            <v>2246</v>
          </cell>
          <cell r="B24" t="str">
            <v>Brook House Junior School</v>
          </cell>
          <cell r="C24" t="str">
            <v>Primary</v>
          </cell>
          <cell r="D24">
            <v>0</v>
          </cell>
          <cell r="E24">
            <v>343</v>
          </cell>
          <cell r="H24">
            <v>9703.4699999999993</v>
          </cell>
        </row>
        <row r="25">
          <cell r="A25">
            <v>5204</v>
          </cell>
          <cell r="B25" t="str">
            <v>Broomhill Infant School</v>
          </cell>
          <cell r="C25" t="str">
            <v>Primary</v>
          </cell>
          <cell r="D25">
            <v>0</v>
          </cell>
          <cell r="E25">
            <v>107</v>
          </cell>
          <cell r="H25">
            <v>3027.0299999999997</v>
          </cell>
        </row>
        <row r="26">
          <cell r="A26">
            <v>2325</v>
          </cell>
          <cell r="B26" t="str">
            <v>Brunswick Community Primary School</v>
          </cell>
          <cell r="C26" t="str">
            <v>Primary</v>
          </cell>
          <cell r="D26">
            <v>0</v>
          </cell>
          <cell r="E26">
            <v>449</v>
          </cell>
          <cell r="H26">
            <v>12702.21</v>
          </cell>
        </row>
        <row r="27">
          <cell r="A27">
            <v>2095</v>
          </cell>
          <cell r="B27" t="str">
            <v>Byron Wood Primary Academy</v>
          </cell>
          <cell r="C27" t="str">
            <v>Primary</v>
          </cell>
          <cell r="D27" t="str">
            <v>Recoupment Academy</v>
          </cell>
          <cell r="E27">
            <v>438</v>
          </cell>
          <cell r="H27">
            <v>12391.02</v>
          </cell>
        </row>
        <row r="28">
          <cell r="A28">
            <v>2344</v>
          </cell>
          <cell r="B28" t="str">
            <v>Carfield Primary School</v>
          </cell>
          <cell r="C28" t="str">
            <v>Primary</v>
          </cell>
          <cell r="D28">
            <v>0</v>
          </cell>
          <cell r="E28">
            <v>610</v>
          </cell>
          <cell r="H28">
            <v>17256.899999999998</v>
          </cell>
        </row>
        <row r="29">
          <cell r="A29">
            <v>2023</v>
          </cell>
          <cell r="B29" t="str">
            <v>Carter Knowle Junior School</v>
          </cell>
          <cell r="C29" t="str">
            <v>Primary</v>
          </cell>
          <cell r="D29">
            <v>0</v>
          </cell>
          <cell r="E29">
            <v>214</v>
          </cell>
          <cell r="H29">
            <v>6054.0599999999995</v>
          </cell>
        </row>
        <row r="30">
          <cell r="A30">
            <v>2354</v>
          </cell>
          <cell r="B30" t="str">
            <v>Charnock Hall Primary Academy</v>
          </cell>
          <cell r="C30" t="str">
            <v>Primary</v>
          </cell>
          <cell r="D30" t="str">
            <v>Recoupment Academy</v>
          </cell>
          <cell r="E30">
            <v>400</v>
          </cell>
          <cell r="H30">
            <v>11316</v>
          </cell>
        </row>
        <row r="31">
          <cell r="A31">
            <v>5200</v>
          </cell>
          <cell r="B31" t="str">
            <v>Clifford All Saints CofE Primary School</v>
          </cell>
          <cell r="C31" t="str">
            <v>Primary</v>
          </cell>
          <cell r="D31">
            <v>0</v>
          </cell>
          <cell r="E31">
            <v>106</v>
          </cell>
          <cell r="H31">
            <v>2998.74</v>
          </cell>
        </row>
        <row r="32">
          <cell r="A32">
            <v>2312</v>
          </cell>
          <cell r="B32" t="str">
            <v>Coit Primary School</v>
          </cell>
          <cell r="C32" t="str">
            <v>Primary</v>
          </cell>
          <cell r="D32">
            <v>0</v>
          </cell>
          <cell r="E32">
            <v>208</v>
          </cell>
          <cell r="H32">
            <v>5884.32</v>
          </cell>
        </row>
        <row r="33">
          <cell r="A33">
            <v>2026</v>
          </cell>
          <cell r="B33" t="str">
            <v>Concord Junior School</v>
          </cell>
          <cell r="C33" t="str">
            <v>Primary</v>
          </cell>
          <cell r="D33" t="str">
            <v>Recoupment Academy</v>
          </cell>
          <cell r="E33">
            <v>206</v>
          </cell>
          <cell r="H33">
            <v>5827.74</v>
          </cell>
        </row>
        <row r="34">
          <cell r="A34">
            <v>3422</v>
          </cell>
          <cell r="B34" t="str">
            <v>Deepcar St John's Church of England Junior School</v>
          </cell>
          <cell r="C34" t="str">
            <v>Primary</v>
          </cell>
          <cell r="D34">
            <v>0</v>
          </cell>
          <cell r="E34">
            <v>154</v>
          </cell>
          <cell r="H34">
            <v>4356.66</v>
          </cell>
        </row>
        <row r="35">
          <cell r="A35">
            <v>2283</v>
          </cell>
          <cell r="B35" t="str">
            <v>Dobcroft Infant School</v>
          </cell>
          <cell r="C35" t="str">
            <v>Primary</v>
          </cell>
          <cell r="D35">
            <v>0</v>
          </cell>
          <cell r="E35">
            <v>271</v>
          </cell>
          <cell r="H35">
            <v>7666.59</v>
          </cell>
        </row>
        <row r="36">
          <cell r="A36">
            <v>2239</v>
          </cell>
          <cell r="B36" t="str">
            <v>Dobcroft Junior School</v>
          </cell>
          <cell r="C36" t="str">
            <v>Primary</v>
          </cell>
          <cell r="D36">
            <v>0</v>
          </cell>
          <cell r="E36">
            <v>402</v>
          </cell>
          <cell r="H36">
            <v>11372.58</v>
          </cell>
        </row>
        <row r="37">
          <cell r="A37">
            <v>2364</v>
          </cell>
          <cell r="B37" t="str">
            <v>Dore Primary School</v>
          </cell>
          <cell r="C37" t="str">
            <v>Primary</v>
          </cell>
          <cell r="D37">
            <v>0</v>
          </cell>
          <cell r="E37">
            <v>466</v>
          </cell>
          <cell r="H37">
            <v>13183.14</v>
          </cell>
        </row>
        <row r="38">
          <cell r="A38">
            <v>2206</v>
          </cell>
          <cell r="B38" t="str">
            <v>Ecclesall Infant Junior School</v>
          </cell>
          <cell r="C38" t="str">
            <v>Primary</v>
          </cell>
          <cell r="D38">
            <v>0</v>
          </cell>
          <cell r="E38">
            <v>575</v>
          </cell>
          <cell r="H38">
            <v>16266.75</v>
          </cell>
        </row>
        <row r="39">
          <cell r="A39">
            <v>2080</v>
          </cell>
          <cell r="B39" t="str">
            <v>Ecclesfield Primary School</v>
          </cell>
          <cell r="C39" t="str">
            <v>Primary</v>
          </cell>
          <cell r="D39">
            <v>0</v>
          </cell>
          <cell r="E39">
            <v>409</v>
          </cell>
          <cell r="H39">
            <v>11570.609999999999</v>
          </cell>
        </row>
        <row r="40">
          <cell r="A40">
            <v>2024</v>
          </cell>
          <cell r="B40" t="str">
            <v>Emmanuel Anglican/Methodist Junior School</v>
          </cell>
          <cell r="C40" t="str">
            <v>Primary</v>
          </cell>
          <cell r="D40" t="str">
            <v>Recoupment Academy</v>
          </cell>
          <cell r="E40">
            <v>215</v>
          </cell>
          <cell r="H40">
            <v>6082.3499999999995</v>
          </cell>
        </row>
        <row r="41">
          <cell r="A41">
            <v>2028</v>
          </cell>
          <cell r="B41" t="str">
            <v>Emmaus Catholic and CofE Primary School</v>
          </cell>
          <cell r="C41" t="str">
            <v>Primary</v>
          </cell>
          <cell r="D41" t="str">
            <v>Recoupment Academy</v>
          </cell>
          <cell r="E41">
            <v>341</v>
          </cell>
          <cell r="H41">
            <v>9646.89</v>
          </cell>
        </row>
        <row r="42">
          <cell r="A42">
            <v>2010</v>
          </cell>
          <cell r="B42" t="str">
            <v>Fox Hill Primary</v>
          </cell>
          <cell r="C42" t="str">
            <v>Primary</v>
          </cell>
          <cell r="D42" t="str">
            <v>Recoupment Academy</v>
          </cell>
          <cell r="E42">
            <v>342</v>
          </cell>
          <cell r="H42">
            <v>9675.18</v>
          </cell>
        </row>
        <row r="43">
          <cell r="A43">
            <v>2036</v>
          </cell>
          <cell r="B43" t="str">
            <v>Gleadless Primary School</v>
          </cell>
          <cell r="C43" t="str">
            <v>Primary</v>
          </cell>
          <cell r="D43">
            <v>0</v>
          </cell>
          <cell r="E43">
            <v>451</v>
          </cell>
          <cell r="H43">
            <v>12758.789999999999</v>
          </cell>
        </row>
        <row r="44">
          <cell r="A44">
            <v>2305</v>
          </cell>
          <cell r="B44" t="str">
            <v>Greengate Lane Academy</v>
          </cell>
          <cell r="C44" t="str">
            <v>Primary</v>
          </cell>
          <cell r="D44" t="str">
            <v>Recoupment Academy</v>
          </cell>
          <cell r="E44">
            <v>203</v>
          </cell>
          <cell r="H44">
            <v>5742.87</v>
          </cell>
        </row>
        <row r="45">
          <cell r="A45">
            <v>2341</v>
          </cell>
          <cell r="B45" t="str">
            <v>Greenhill Primary School</v>
          </cell>
          <cell r="C45" t="str">
            <v>Primary</v>
          </cell>
          <cell r="D45" t="str">
            <v>Recoupment Academy</v>
          </cell>
          <cell r="E45">
            <v>501</v>
          </cell>
          <cell r="H45">
            <v>14173.289999999999</v>
          </cell>
        </row>
        <row r="46">
          <cell r="A46">
            <v>2296</v>
          </cell>
          <cell r="B46" t="str">
            <v>Grenoside Community Primary School</v>
          </cell>
          <cell r="C46" t="str">
            <v>Primary</v>
          </cell>
          <cell r="D46">
            <v>0</v>
          </cell>
          <cell r="E46">
            <v>336</v>
          </cell>
          <cell r="H46">
            <v>9505.44</v>
          </cell>
        </row>
        <row r="47">
          <cell r="A47">
            <v>2356</v>
          </cell>
          <cell r="B47" t="str">
            <v>Greystones Primary School</v>
          </cell>
          <cell r="C47" t="str">
            <v>Primary</v>
          </cell>
          <cell r="D47">
            <v>0</v>
          </cell>
          <cell r="E47">
            <v>595</v>
          </cell>
          <cell r="H47">
            <v>16832.55</v>
          </cell>
        </row>
        <row r="48">
          <cell r="A48">
            <v>2279</v>
          </cell>
          <cell r="B48" t="str">
            <v>Halfway Junior School</v>
          </cell>
          <cell r="C48" t="str">
            <v>Primary</v>
          </cell>
          <cell r="D48">
            <v>0</v>
          </cell>
          <cell r="E48">
            <v>195</v>
          </cell>
          <cell r="H48">
            <v>5516.55</v>
          </cell>
        </row>
        <row r="49">
          <cell r="A49">
            <v>2252</v>
          </cell>
          <cell r="B49" t="str">
            <v>Halfway Nursery Infant School</v>
          </cell>
          <cell r="C49" t="str">
            <v>Primary</v>
          </cell>
          <cell r="D49">
            <v>0</v>
          </cell>
          <cell r="E49">
            <v>198</v>
          </cell>
          <cell r="H49">
            <v>5601.42</v>
          </cell>
        </row>
        <row r="50">
          <cell r="A50">
            <v>2357</v>
          </cell>
          <cell r="B50" t="str">
            <v>Hallam Primary School</v>
          </cell>
          <cell r="C50" t="str">
            <v>Primary</v>
          </cell>
          <cell r="D50" t="str">
            <v>Recoupment Academy</v>
          </cell>
          <cell r="E50">
            <v>626</v>
          </cell>
          <cell r="H50">
            <v>17709.54</v>
          </cell>
        </row>
        <row r="51">
          <cell r="A51">
            <v>2050</v>
          </cell>
          <cell r="B51" t="str">
            <v>Hartley Brook Primary School</v>
          </cell>
          <cell r="C51" t="str">
            <v>Primary</v>
          </cell>
          <cell r="D51" t="str">
            <v>Recoupment Academy</v>
          </cell>
          <cell r="E51">
            <v>650</v>
          </cell>
          <cell r="H51">
            <v>18388.5</v>
          </cell>
        </row>
        <row r="52">
          <cell r="A52">
            <v>2049</v>
          </cell>
          <cell r="B52" t="str">
            <v>Hatfield Academy</v>
          </cell>
          <cell r="C52" t="str">
            <v>Primary</v>
          </cell>
          <cell r="D52" t="str">
            <v>Recoupment Academy</v>
          </cell>
          <cell r="E52">
            <v>368</v>
          </cell>
          <cell r="H52">
            <v>10410.719999999999</v>
          </cell>
        </row>
        <row r="53">
          <cell r="A53">
            <v>2297</v>
          </cell>
          <cell r="B53" t="str">
            <v>High Green Primary School</v>
          </cell>
          <cell r="C53" t="str">
            <v>Primary</v>
          </cell>
          <cell r="D53">
            <v>0</v>
          </cell>
          <cell r="E53">
            <v>213</v>
          </cell>
          <cell r="H53">
            <v>6025.7699999999995</v>
          </cell>
        </row>
        <row r="54">
          <cell r="A54">
            <v>2042</v>
          </cell>
          <cell r="B54" t="str">
            <v>High Hazels Junior School</v>
          </cell>
          <cell r="C54" t="str">
            <v>Primary</v>
          </cell>
          <cell r="D54" t="str">
            <v>Recoupment Academy</v>
          </cell>
          <cell r="E54">
            <v>361</v>
          </cell>
          <cell r="H54">
            <v>10212.69</v>
          </cell>
        </row>
        <row r="55">
          <cell r="A55">
            <v>2039</v>
          </cell>
          <cell r="B55" t="str">
            <v>High Hazels Nursery Infant Academy</v>
          </cell>
          <cell r="C55" t="str">
            <v>Primary</v>
          </cell>
          <cell r="D55" t="str">
            <v>Recoupment Academy</v>
          </cell>
          <cell r="E55">
            <v>312</v>
          </cell>
          <cell r="H55">
            <v>8826.48</v>
          </cell>
        </row>
        <row r="56">
          <cell r="A56">
            <v>2339</v>
          </cell>
          <cell r="B56" t="str">
            <v>Hillsborough Primary School</v>
          </cell>
          <cell r="C56" t="str">
            <v>Primary</v>
          </cell>
          <cell r="D56" t="str">
            <v>Recoupment Academy</v>
          </cell>
          <cell r="E56">
            <v>396</v>
          </cell>
          <cell r="H56">
            <v>11202.84</v>
          </cell>
        </row>
        <row r="57">
          <cell r="A57">
            <v>2213</v>
          </cell>
          <cell r="B57" t="str">
            <v>Holt House Infant School</v>
          </cell>
          <cell r="C57" t="str">
            <v>Primary</v>
          </cell>
          <cell r="D57">
            <v>0</v>
          </cell>
          <cell r="E57">
            <v>169</v>
          </cell>
          <cell r="H57">
            <v>4781.01</v>
          </cell>
        </row>
        <row r="58">
          <cell r="A58">
            <v>2337</v>
          </cell>
          <cell r="B58" t="str">
            <v>Hucklow Primary School</v>
          </cell>
          <cell r="C58" t="str">
            <v>Primary</v>
          </cell>
          <cell r="D58" t="str">
            <v>Recoupment Academy</v>
          </cell>
          <cell r="E58">
            <v>530</v>
          </cell>
          <cell r="H58">
            <v>14993.699999999999</v>
          </cell>
        </row>
        <row r="59">
          <cell r="A59">
            <v>2060</v>
          </cell>
          <cell r="B59" t="str">
            <v>Hunter's Bar Infant School</v>
          </cell>
          <cell r="C59" t="str">
            <v>Primary</v>
          </cell>
          <cell r="D59">
            <v>0</v>
          </cell>
          <cell r="E59">
            <v>270</v>
          </cell>
          <cell r="H59">
            <v>7638.3</v>
          </cell>
        </row>
        <row r="60">
          <cell r="A60">
            <v>2058</v>
          </cell>
          <cell r="B60" t="str">
            <v>Hunter's Bar Junior School</v>
          </cell>
          <cell r="C60" t="str">
            <v>Primary</v>
          </cell>
          <cell r="D60">
            <v>0</v>
          </cell>
          <cell r="E60">
            <v>354</v>
          </cell>
          <cell r="H60">
            <v>10014.66</v>
          </cell>
        </row>
        <row r="61">
          <cell r="A61">
            <v>2063</v>
          </cell>
          <cell r="B61" t="str">
            <v>Intake Primary School</v>
          </cell>
          <cell r="C61" t="str">
            <v>Primary</v>
          </cell>
          <cell r="D61">
            <v>0</v>
          </cell>
          <cell r="E61">
            <v>409</v>
          </cell>
          <cell r="H61">
            <v>11570.609999999999</v>
          </cell>
        </row>
        <row r="62">
          <cell r="A62">
            <v>2261</v>
          </cell>
          <cell r="B62" t="str">
            <v>Limpsfield Junior School</v>
          </cell>
          <cell r="C62" t="str">
            <v>Primary</v>
          </cell>
          <cell r="D62">
            <v>0</v>
          </cell>
          <cell r="E62">
            <v>234</v>
          </cell>
          <cell r="H62">
            <v>6619.86</v>
          </cell>
        </row>
        <row r="63">
          <cell r="A63">
            <v>2315</v>
          </cell>
          <cell r="B63" t="str">
            <v>Lound Infant School</v>
          </cell>
          <cell r="C63" t="str">
            <v>Primary</v>
          </cell>
          <cell r="D63" t="str">
            <v>Recoupment Academy</v>
          </cell>
          <cell r="E63">
            <v>152</v>
          </cell>
          <cell r="H63">
            <v>4300.08</v>
          </cell>
        </row>
        <row r="64">
          <cell r="A64">
            <v>2298</v>
          </cell>
          <cell r="B64" t="str">
            <v>Lound Junior School</v>
          </cell>
          <cell r="C64" t="str">
            <v>Primary</v>
          </cell>
          <cell r="D64" t="str">
            <v>Recoupment Academy</v>
          </cell>
          <cell r="E64">
            <v>232</v>
          </cell>
          <cell r="H64">
            <v>6563.28</v>
          </cell>
        </row>
        <row r="65">
          <cell r="A65">
            <v>2029</v>
          </cell>
          <cell r="B65" t="str">
            <v>Lowedges Junior Academy</v>
          </cell>
          <cell r="C65" t="str">
            <v>Primary</v>
          </cell>
          <cell r="D65" t="str">
            <v>Recoupment Academy</v>
          </cell>
          <cell r="E65">
            <v>327</v>
          </cell>
          <cell r="H65">
            <v>9250.83</v>
          </cell>
        </row>
        <row r="66">
          <cell r="A66">
            <v>2045</v>
          </cell>
          <cell r="B66" t="str">
            <v>Lower Meadow Primary School</v>
          </cell>
          <cell r="C66" t="str">
            <v>Primary</v>
          </cell>
          <cell r="D66" t="str">
            <v>Recoupment Academy</v>
          </cell>
          <cell r="E66">
            <v>287</v>
          </cell>
          <cell r="H66">
            <v>8119.23</v>
          </cell>
        </row>
        <row r="67">
          <cell r="A67">
            <v>2070</v>
          </cell>
          <cell r="B67" t="str">
            <v>Lowfield Community Primary School</v>
          </cell>
          <cell r="C67" t="str">
            <v>Primary</v>
          </cell>
          <cell r="D67">
            <v>0</v>
          </cell>
          <cell r="E67">
            <v>366</v>
          </cell>
          <cell r="H67">
            <v>10354.14</v>
          </cell>
        </row>
        <row r="68">
          <cell r="A68">
            <v>2292</v>
          </cell>
          <cell r="B68" t="str">
            <v>Loxley Primary School</v>
          </cell>
          <cell r="C68" t="str">
            <v>Primary</v>
          </cell>
          <cell r="D68">
            <v>0</v>
          </cell>
          <cell r="E68">
            <v>212</v>
          </cell>
          <cell r="H68">
            <v>5997.48</v>
          </cell>
        </row>
        <row r="69">
          <cell r="A69">
            <v>2072</v>
          </cell>
          <cell r="B69" t="str">
            <v>Lydgate Infant School</v>
          </cell>
          <cell r="C69" t="str">
            <v>Primary</v>
          </cell>
          <cell r="D69">
            <v>0</v>
          </cell>
          <cell r="E69">
            <v>352</v>
          </cell>
          <cell r="H69">
            <v>9958.08</v>
          </cell>
        </row>
        <row r="70">
          <cell r="A70">
            <v>2071</v>
          </cell>
          <cell r="B70" t="str">
            <v>Lydgate Junior School</v>
          </cell>
          <cell r="C70" t="str">
            <v>Primary</v>
          </cell>
          <cell r="D70">
            <v>0</v>
          </cell>
          <cell r="E70">
            <v>481</v>
          </cell>
          <cell r="H70">
            <v>13607.49</v>
          </cell>
        </row>
        <row r="71">
          <cell r="A71">
            <v>2358</v>
          </cell>
          <cell r="B71" t="str">
            <v>Malin Bridge Primary School</v>
          </cell>
          <cell r="C71" t="str">
            <v>Primary</v>
          </cell>
          <cell r="D71">
            <v>0</v>
          </cell>
          <cell r="E71">
            <v>605</v>
          </cell>
          <cell r="H71">
            <v>17115.45</v>
          </cell>
        </row>
        <row r="72">
          <cell r="A72">
            <v>2359</v>
          </cell>
          <cell r="B72" t="str">
            <v>Manor Lodge Community Primary and Nursery School</v>
          </cell>
          <cell r="C72" t="str">
            <v>Primary</v>
          </cell>
          <cell r="D72" t="str">
            <v>Recoupment Academy</v>
          </cell>
          <cell r="E72">
            <v>310</v>
          </cell>
          <cell r="H72">
            <v>8769.9</v>
          </cell>
        </row>
        <row r="73">
          <cell r="A73">
            <v>2012</v>
          </cell>
          <cell r="B73" t="str">
            <v>Mansel Primary</v>
          </cell>
          <cell r="C73" t="str">
            <v>Primary</v>
          </cell>
          <cell r="D73" t="str">
            <v>Recoupment Academy</v>
          </cell>
          <cell r="E73">
            <v>445</v>
          </cell>
          <cell r="H73">
            <v>12589.05</v>
          </cell>
        </row>
        <row r="74">
          <cell r="A74">
            <v>2079</v>
          </cell>
          <cell r="B74" t="str">
            <v>Marlcliffe Community Primary School</v>
          </cell>
          <cell r="C74" t="str">
            <v>Primary</v>
          </cell>
          <cell r="D74">
            <v>0</v>
          </cell>
          <cell r="E74">
            <v>510</v>
          </cell>
          <cell r="H74">
            <v>14427.9</v>
          </cell>
        </row>
        <row r="75">
          <cell r="A75">
            <v>2081</v>
          </cell>
          <cell r="B75" t="str">
            <v>Meersbrook Bank Primary School</v>
          </cell>
          <cell r="C75" t="str">
            <v>Primary</v>
          </cell>
          <cell r="D75">
            <v>0</v>
          </cell>
          <cell r="E75">
            <v>241</v>
          </cell>
          <cell r="H75">
            <v>6817.8899999999994</v>
          </cell>
        </row>
        <row r="76">
          <cell r="A76">
            <v>2013</v>
          </cell>
          <cell r="B76" t="str">
            <v>Meynell Community Primary School</v>
          </cell>
          <cell r="C76" t="str">
            <v>Primary</v>
          </cell>
          <cell r="D76" t="str">
            <v>Recoupment Academy</v>
          </cell>
          <cell r="E76">
            <v>480</v>
          </cell>
          <cell r="H76">
            <v>13579.199999999999</v>
          </cell>
        </row>
        <row r="77">
          <cell r="A77">
            <v>2346</v>
          </cell>
          <cell r="B77" t="str">
            <v>Monteney Primary School</v>
          </cell>
          <cell r="C77" t="str">
            <v>Primary</v>
          </cell>
          <cell r="D77" t="str">
            <v>Recoupment Academy</v>
          </cell>
          <cell r="E77">
            <v>473</v>
          </cell>
          <cell r="H77">
            <v>13381.17</v>
          </cell>
        </row>
        <row r="78">
          <cell r="A78">
            <v>2257</v>
          </cell>
          <cell r="B78" t="str">
            <v>Mosborough Primary School</v>
          </cell>
          <cell r="C78" t="str">
            <v>Primary</v>
          </cell>
          <cell r="D78">
            <v>0</v>
          </cell>
          <cell r="E78">
            <v>415</v>
          </cell>
          <cell r="H78">
            <v>11740.35</v>
          </cell>
        </row>
        <row r="79">
          <cell r="A79">
            <v>2092</v>
          </cell>
          <cell r="B79" t="str">
            <v>Mundella Primary School</v>
          </cell>
          <cell r="C79" t="str">
            <v>Primary</v>
          </cell>
          <cell r="D79">
            <v>0</v>
          </cell>
          <cell r="E79">
            <v>412</v>
          </cell>
          <cell r="H79">
            <v>11655.48</v>
          </cell>
        </row>
        <row r="80">
          <cell r="A80">
            <v>2002</v>
          </cell>
          <cell r="B80" t="str">
            <v>Nether Edge Primary School</v>
          </cell>
          <cell r="C80" t="str">
            <v>Primary</v>
          </cell>
          <cell r="D80" t="str">
            <v>Recoupment Academy</v>
          </cell>
          <cell r="E80">
            <v>441</v>
          </cell>
          <cell r="H80">
            <v>12475.89</v>
          </cell>
        </row>
        <row r="81">
          <cell r="A81">
            <v>2221</v>
          </cell>
          <cell r="B81" t="str">
            <v>Nether Green Infant School</v>
          </cell>
          <cell r="C81" t="str">
            <v>Primary</v>
          </cell>
          <cell r="D81">
            <v>0</v>
          </cell>
          <cell r="E81">
            <v>209</v>
          </cell>
          <cell r="H81">
            <v>5912.61</v>
          </cell>
        </row>
        <row r="82">
          <cell r="A82">
            <v>2087</v>
          </cell>
          <cell r="B82" t="str">
            <v>Nether Green Junior School</v>
          </cell>
          <cell r="C82" t="str">
            <v>Primary</v>
          </cell>
          <cell r="D82">
            <v>0</v>
          </cell>
          <cell r="E82">
            <v>381</v>
          </cell>
          <cell r="H82">
            <v>10778.49</v>
          </cell>
        </row>
        <row r="83">
          <cell r="A83">
            <v>2272</v>
          </cell>
          <cell r="B83" t="str">
            <v>Netherthorpe Primary School</v>
          </cell>
          <cell r="C83" t="str">
            <v>Primary</v>
          </cell>
          <cell r="D83">
            <v>0</v>
          </cell>
          <cell r="E83">
            <v>258</v>
          </cell>
          <cell r="H83">
            <v>7298.82</v>
          </cell>
        </row>
        <row r="84">
          <cell r="A84">
            <v>2309</v>
          </cell>
          <cell r="B84" t="str">
            <v>Nook Lane Junior School</v>
          </cell>
          <cell r="C84" t="str">
            <v>Primary</v>
          </cell>
          <cell r="D84">
            <v>0</v>
          </cell>
          <cell r="E84">
            <v>244</v>
          </cell>
          <cell r="H84">
            <v>6902.76</v>
          </cell>
        </row>
        <row r="85">
          <cell r="A85">
            <v>2051</v>
          </cell>
          <cell r="B85" t="str">
            <v>Norfolk Community Primary School</v>
          </cell>
          <cell r="C85" t="str">
            <v>Primary</v>
          </cell>
          <cell r="D85" t="str">
            <v>Recoupment Academy</v>
          </cell>
          <cell r="E85">
            <v>456</v>
          </cell>
          <cell r="H85">
            <v>12900.24</v>
          </cell>
        </row>
        <row r="86">
          <cell r="A86">
            <v>3010</v>
          </cell>
          <cell r="B86" t="str">
            <v>Norton Free Church of England Primary School</v>
          </cell>
          <cell r="C86" t="str">
            <v>Primary</v>
          </cell>
          <cell r="D86">
            <v>0</v>
          </cell>
          <cell r="E86">
            <v>212</v>
          </cell>
          <cell r="H86">
            <v>5997.48</v>
          </cell>
        </row>
        <row r="87">
          <cell r="A87">
            <v>2018</v>
          </cell>
          <cell r="B87" t="str">
            <v>Oasis Academy Fir Vale</v>
          </cell>
          <cell r="C87" t="str">
            <v>Primary</v>
          </cell>
          <cell r="D87" t="str">
            <v>Recoupment Academy</v>
          </cell>
          <cell r="E87">
            <v>376</v>
          </cell>
          <cell r="H87">
            <v>10637.039999999999</v>
          </cell>
        </row>
        <row r="88">
          <cell r="A88">
            <v>2019</v>
          </cell>
          <cell r="B88" t="str">
            <v>Oasis Academy Watermead</v>
          </cell>
          <cell r="C88" t="str">
            <v>Primary</v>
          </cell>
          <cell r="D88" t="str">
            <v>Recoupment Academy</v>
          </cell>
          <cell r="E88">
            <v>324</v>
          </cell>
          <cell r="H88">
            <v>9165.9599999999991</v>
          </cell>
        </row>
        <row r="89">
          <cell r="A89">
            <v>2313</v>
          </cell>
          <cell r="B89" t="str">
            <v>Oughtibridge Primary School</v>
          </cell>
          <cell r="C89" t="str">
            <v>Primary</v>
          </cell>
          <cell r="D89">
            <v>0</v>
          </cell>
          <cell r="E89">
            <v>425</v>
          </cell>
          <cell r="H89">
            <v>12023.25</v>
          </cell>
        </row>
        <row r="90">
          <cell r="A90">
            <v>2093</v>
          </cell>
          <cell r="B90" t="str">
            <v>Owler Brook Primary School</v>
          </cell>
          <cell r="C90" t="str">
            <v>Primary</v>
          </cell>
          <cell r="D90">
            <v>0</v>
          </cell>
          <cell r="E90">
            <v>495</v>
          </cell>
          <cell r="H90">
            <v>14003.55</v>
          </cell>
        </row>
        <row r="91">
          <cell r="A91">
            <v>3428</v>
          </cell>
          <cell r="B91" t="str">
            <v>Parson Cross Church of England Primary School</v>
          </cell>
          <cell r="C91" t="str">
            <v>Primary</v>
          </cell>
          <cell r="D91">
            <v>0</v>
          </cell>
          <cell r="E91">
            <v>201</v>
          </cell>
          <cell r="H91">
            <v>5686.29</v>
          </cell>
        </row>
        <row r="92">
          <cell r="A92">
            <v>2016</v>
          </cell>
          <cell r="B92" t="str">
            <v>Pathways E-Act Primary Academy</v>
          </cell>
          <cell r="C92" t="str">
            <v>Primary</v>
          </cell>
          <cell r="D92" t="str">
            <v>Recoupment Academy</v>
          </cell>
          <cell r="E92">
            <v>429</v>
          </cell>
          <cell r="H92">
            <v>12136.41</v>
          </cell>
        </row>
        <row r="93">
          <cell r="A93">
            <v>2332</v>
          </cell>
          <cell r="B93" t="str">
            <v>Phillimore Community Primary School</v>
          </cell>
          <cell r="C93" t="str">
            <v>Primary</v>
          </cell>
          <cell r="D93" t="str">
            <v>Recoupment Academy</v>
          </cell>
          <cell r="E93">
            <v>455</v>
          </cell>
          <cell r="H93">
            <v>12871.949999999999</v>
          </cell>
        </row>
        <row r="94">
          <cell r="A94">
            <v>3433</v>
          </cell>
          <cell r="B94" t="str">
            <v>Pipworth Community Primary School</v>
          </cell>
          <cell r="C94" t="str">
            <v>Primary</v>
          </cell>
          <cell r="D94">
            <v>0</v>
          </cell>
          <cell r="E94">
            <v>430</v>
          </cell>
          <cell r="H94">
            <v>12164.699999999999</v>
          </cell>
        </row>
        <row r="95">
          <cell r="A95">
            <v>3427</v>
          </cell>
          <cell r="B95" t="str">
            <v>Porter Croft Church of England Primary Academy</v>
          </cell>
          <cell r="C95" t="str">
            <v>Primary</v>
          </cell>
          <cell r="D95" t="str">
            <v>Recoupment Academy</v>
          </cell>
          <cell r="E95">
            <v>215</v>
          </cell>
          <cell r="H95">
            <v>6082.3499999999995</v>
          </cell>
        </row>
        <row r="96">
          <cell r="A96">
            <v>2347</v>
          </cell>
          <cell r="B96" t="str">
            <v>Prince Edward Primary School</v>
          </cell>
          <cell r="C96" t="str">
            <v>Primary</v>
          </cell>
          <cell r="D96">
            <v>0</v>
          </cell>
          <cell r="E96">
            <v>431</v>
          </cell>
          <cell r="H96">
            <v>12192.99</v>
          </cell>
        </row>
        <row r="97">
          <cell r="A97">
            <v>2366</v>
          </cell>
          <cell r="B97" t="str">
            <v>Pye Bank CofE Primary School</v>
          </cell>
          <cell r="C97" t="str">
            <v>Primary</v>
          </cell>
          <cell r="D97">
            <v>0</v>
          </cell>
          <cell r="E97">
            <v>460</v>
          </cell>
          <cell r="H97">
            <v>13013.4</v>
          </cell>
        </row>
        <row r="98">
          <cell r="A98">
            <v>2363</v>
          </cell>
          <cell r="B98" t="str">
            <v>Rainbow Forge Primary Academy</v>
          </cell>
          <cell r="C98" t="str">
            <v>Primary</v>
          </cell>
          <cell r="D98" t="str">
            <v>Recoupment Academy</v>
          </cell>
          <cell r="E98">
            <v>353</v>
          </cell>
          <cell r="H98">
            <v>9986.369999999999</v>
          </cell>
        </row>
        <row r="99">
          <cell r="A99">
            <v>2334</v>
          </cell>
          <cell r="B99" t="str">
            <v>Reignhead Primary School</v>
          </cell>
          <cell r="C99" t="str">
            <v>Primary</v>
          </cell>
          <cell r="D99">
            <v>0</v>
          </cell>
          <cell r="E99">
            <v>312</v>
          </cell>
          <cell r="H99">
            <v>8826.48</v>
          </cell>
        </row>
        <row r="100">
          <cell r="A100">
            <v>2338</v>
          </cell>
          <cell r="B100" t="str">
            <v>Rivelin Primary School</v>
          </cell>
          <cell r="C100" t="str">
            <v>Primary</v>
          </cell>
          <cell r="D100">
            <v>0</v>
          </cell>
          <cell r="E100">
            <v>398</v>
          </cell>
          <cell r="H100">
            <v>11259.42</v>
          </cell>
        </row>
        <row r="101">
          <cell r="A101">
            <v>2306</v>
          </cell>
          <cell r="B101" t="str">
            <v>Royd Nursery and Infant School</v>
          </cell>
          <cell r="C101" t="str">
            <v>Primary</v>
          </cell>
          <cell r="D101">
            <v>0</v>
          </cell>
          <cell r="E101">
            <v>179</v>
          </cell>
          <cell r="H101">
            <v>5063.91</v>
          </cell>
        </row>
        <row r="102">
          <cell r="A102">
            <v>3401</v>
          </cell>
          <cell r="B102" t="str">
            <v>Sacred Heart School, A Catholic Voluntary Academy</v>
          </cell>
          <cell r="C102" t="str">
            <v>Primary</v>
          </cell>
          <cell r="D102" t="str">
            <v>Recoupment Academy</v>
          </cell>
          <cell r="E102">
            <v>209</v>
          </cell>
          <cell r="H102">
            <v>5912.61</v>
          </cell>
        </row>
        <row r="103">
          <cell r="A103">
            <v>2369</v>
          </cell>
          <cell r="B103" t="str">
            <v>Sharrow Nursery, Infant and Junior School</v>
          </cell>
          <cell r="C103" t="str">
            <v>Primary</v>
          </cell>
          <cell r="D103">
            <v>0</v>
          </cell>
          <cell r="E103">
            <v>498</v>
          </cell>
          <cell r="H103">
            <v>14088.42</v>
          </cell>
        </row>
        <row r="104">
          <cell r="A104">
            <v>2349</v>
          </cell>
          <cell r="B104" t="str">
            <v>Shooter's Grove Primary School</v>
          </cell>
          <cell r="C104" t="str">
            <v>Primary</v>
          </cell>
          <cell r="D104">
            <v>0</v>
          </cell>
          <cell r="E104">
            <v>408</v>
          </cell>
          <cell r="H104">
            <v>11542.32</v>
          </cell>
        </row>
        <row r="105">
          <cell r="A105">
            <v>2360</v>
          </cell>
          <cell r="B105" t="str">
            <v>Shortbrook Primary School</v>
          </cell>
          <cell r="C105" t="str">
            <v>Primary</v>
          </cell>
          <cell r="D105">
            <v>0</v>
          </cell>
          <cell r="E105">
            <v>103</v>
          </cell>
          <cell r="H105">
            <v>2913.87</v>
          </cell>
        </row>
        <row r="106">
          <cell r="A106">
            <v>2009</v>
          </cell>
          <cell r="B106" t="str">
            <v>Southey Green Primary School and Nurseries</v>
          </cell>
          <cell r="C106" t="str">
            <v>Primary</v>
          </cell>
          <cell r="D106" t="str">
            <v>Recoupment Academy</v>
          </cell>
          <cell r="E106">
            <v>732</v>
          </cell>
          <cell r="H106">
            <v>20708.28</v>
          </cell>
        </row>
        <row r="107">
          <cell r="A107">
            <v>2329</v>
          </cell>
          <cell r="B107" t="str">
            <v>Springfield Primary School</v>
          </cell>
          <cell r="C107" t="str">
            <v>Primary</v>
          </cell>
          <cell r="D107">
            <v>0</v>
          </cell>
          <cell r="E107">
            <v>217</v>
          </cell>
          <cell r="H107">
            <v>6138.9299999999994</v>
          </cell>
        </row>
        <row r="108">
          <cell r="A108">
            <v>5202</v>
          </cell>
          <cell r="B108" t="str">
            <v>St Ann's Catholic Primary School, A Voluntary Academy</v>
          </cell>
          <cell r="C108" t="str">
            <v>Primary</v>
          </cell>
          <cell r="D108" t="str">
            <v>Recoupment Academy</v>
          </cell>
          <cell r="E108">
            <v>98</v>
          </cell>
          <cell r="H108">
            <v>2772.42</v>
          </cell>
        </row>
        <row r="109">
          <cell r="A109">
            <v>3402</v>
          </cell>
          <cell r="B109" t="str">
            <v>St Catherine's Catholic Voluntary Academy (Hallam)</v>
          </cell>
          <cell r="C109" t="str">
            <v>Primary</v>
          </cell>
          <cell r="D109" t="str">
            <v>Recoupment Academy</v>
          </cell>
          <cell r="E109">
            <v>464</v>
          </cell>
          <cell r="H109">
            <v>13126.56</v>
          </cell>
        </row>
        <row r="110">
          <cell r="A110">
            <v>2017</v>
          </cell>
          <cell r="B110" t="str">
            <v>St John Fisher Primary, A Catholic Voluntary Academy</v>
          </cell>
          <cell r="C110" t="str">
            <v>Primary</v>
          </cell>
          <cell r="D110" t="str">
            <v>Recoupment Academy</v>
          </cell>
          <cell r="E110">
            <v>208</v>
          </cell>
          <cell r="H110">
            <v>5884.32</v>
          </cell>
        </row>
        <row r="111">
          <cell r="A111">
            <v>5203</v>
          </cell>
          <cell r="B111" t="str">
            <v>St Joseph's Primary School</v>
          </cell>
          <cell r="C111" t="str">
            <v>Primary</v>
          </cell>
          <cell r="D111" t="str">
            <v>Recoupment Academy</v>
          </cell>
          <cell r="E111">
            <v>224</v>
          </cell>
          <cell r="H111">
            <v>6336.96</v>
          </cell>
        </row>
        <row r="112">
          <cell r="A112">
            <v>3406</v>
          </cell>
          <cell r="B112" t="str">
            <v>St Marie's School, A Catholic Voluntary Academy</v>
          </cell>
          <cell r="C112" t="str">
            <v>Primary</v>
          </cell>
          <cell r="D112" t="str">
            <v>Recoupment Academy</v>
          </cell>
          <cell r="E112">
            <v>269</v>
          </cell>
          <cell r="H112">
            <v>7610.01</v>
          </cell>
        </row>
        <row r="113">
          <cell r="A113">
            <v>2020</v>
          </cell>
          <cell r="B113" t="str">
            <v>St Mary's Church of England Primary School</v>
          </cell>
          <cell r="C113" t="str">
            <v>Primary</v>
          </cell>
          <cell r="D113" t="str">
            <v>Recoupment Academy</v>
          </cell>
          <cell r="E113">
            <v>185</v>
          </cell>
          <cell r="H113">
            <v>5233.6499999999996</v>
          </cell>
        </row>
        <row r="114">
          <cell r="A114">
            <v>3423</v>
          </cell>
          <cell r="B114" t="str">
            <v>St Mary's Primary School, A Catholic Voluntary Academy</v>
          </cell>
          <cell r="C114" t="str">
            <v>Primary</v>
          </cell>
          <cell r="D114" t="str">
            <v>Recoupment Academy</v>
          </cell>
          <cell r="E114">
            <v>192</v>
          </cell>
          <cell r="H114">
            <v>5431.68</v>
          </cell>
        </row>
        <row r="115">
          <cell r="A115">
            <v>5207</v>
          </cell>
          <cell r="B115" t="str">
            <v>St Patrick's Catholic Voluntary Academy</v>
          </cell>
          <cell r="C115" t="str">
            <v>Primary</v>
          </cell>
          <cell r="D115" t="str">
            <v>Recoupment Academy</v>
          </cell>
          <cell r="E115">
            <v>315</v>
          </cell>
          <cell r="H115">
            <v>8911.35</v>
          </cell>
        </row>
        <row r="116">
          <cell r="A116">
            <v>5208</v>
          </cell>
          <cell r="B116" t="str">
            <v>St Theresa's Catholic Primary School</v>
          </cell>
          <cell r="C116" t="str">
            <v>Primary</v>
          </cell>
          <cell r="D116">
            <v>0</v>
          </cell>
          <cell r="E116">
            <v>225</v>
          </cell>
          <cell r="H116">
            <v>6365.25</v>
          </cell>
        </row>
        <row r="117">
          <cell r="A117">
            <v>3424</v>
          </cell>
          <cell r="B117" t="str">
            <v>St Thomas More Catholic Primary, A Voluntary Academy</v>
          </cell>
          <cell r="C117" t="str">
            <v>Primary</v>
          </cell>
          <cell r="D117" t="str">
            <v>Recoupment Academy</v>
          </cell>
          <cell r="E117">
            <v>206</v>
          </cell>
          <cell r="H117">
            <v>5827.74</v>
          </cell>
        </row>
        <row r="118">
          <cell r="A118">
            <v>3414</v>
          </cell>
          <cell r="B118" t="str">
            <v>St Thomas of Canterbury School, a Catholic Voluntary Academy</v>
          </cell>
          <cell r="C118" t="str">
            <v>Primary</v>
          </cell>
          <cell r="D118" t="str">
            <v>Recoupment Academy</v>
          </cell>
          <cell r="E118">
            <v>234</v>
          </cell>
          <cell r="H118">
            <v>6619.86</v>
          </cell>
        </row>
        <row r="119">
          <cell r="A119">
            <v>3412</v>
          </cell>
          <cell r="B119" t="str">
            <v>St Wilfrid's Catholic Primary School</v>
          </cell>
          <cell r="C119" t="str">
            <v>Primary</v>
          </cell>
          <cell r="D119" t="str">
            <v>Recoupment Academy</v>
          </cell>
          <cell r="E119">
            <v>310</v>
          </cell>
          <cell r="H119">
            <v>8769.9</v>
          </cell>
        </row>
        <row r="120">
          <cell r="A120">
            <v>2294</v>
          </cell>
          <cell r="B120" t="str">
            <v>Stannington Infant School</v>
          </cell>
          <cell r="C120" t="str">
            <v>Primary</v>
          </cell>
          <cell r="D120">
            <v>0</v>
          </cell>
          <cell r="E120">
            <v>180</v>
          </cell>
          <cell r="H120">
            <v>5092.2</v>
          </cell>
        </row>
        <row r="121">
          <cell r="A121">
            <v>2303</v>
          </cell>
          <cell r="B121" t="str">
            <v>Stocksbridge Junior School</v>
          </cell>
          <cell r="C121" t="str">
            <v>Primary</v>
          </cell>
          <cell r="D121">
            <v>0</v>
          </cell>
          <cell r="E121">
            <v>369</v>
          </cell>
          <cell r="H121">
            <v>10439.01</v>
          </cell>
        </row>
        <row r="122">
          <cell r="A122">
            <v>2302</v>
          </cell>
          <cell r="B122" t="str">
            <v>Stocksbridge Nursery Infant School</v>
          </cell>
          <cell r="C122" t="str">
            <v>Primary</v>
          </cell>
          <cell r="D122">
            <v>0</v>
          </cell>
          <cell r="E122">
            <v>247</v>
          </cell>
          <cell r="H122">
            <v>6987.63</v>
          </cell>
        </row>
        <row r="123">
          <cell r="A123">
            <v>2350</v>
          </cell>
          <cell r="B123" t="str">
            <v>Stradbroke Primary School</v>
          </cell>
          <cell r="C123" t="str">
            <v>Primary</v>
          </cell>
          <cell r="D123">
            <v>0</v>
          </cell>
          <cell r="E123">
            <v>477</v>
          </cell>
          <cell r="H123">
            <v>13494.33</v>
          </cell>
        </row>
        <row r="124">
          <cell r="A124">
            <v>2230</v>
          </cell>
          <cell r="B124" t="str">
            <v>Tinsley Meadows Primary School</v>
          </cell>
          <cell r="C124" t="str">
            <v>Primary</v>
          </cell>
          <cell r="D124" t="str">
            <v>Recoupment Academy</v>
          </cell>
          <cell r="E124">
            <v>616</v>
          </cell>
          <cell r="H124">
            <v>17426.64</v>
          </cell>
        </row>
        <row r="125">
          <cell r="A125">
            <v>5206</v>
          </cell>
          <cell r="B125" t="str">
            <v>Totley All Saints Church of England Voluntary Aided Primary School</v>
          </cell>
          <cell r="C125" t="str">
            <v>Primary</v>
          </cell>
          <cell r="D125">
            <v>0</v>
          </cell>
          <cell r="E125">
            <v>209</v>
          </cell>
          <cell r="H125">
            <v>5912.61</v>
          </cell>
        </row>
        <row r="126">
          <cell r="A126">
            <v>2203</v>
          </cell>
          <cell r="B126" t="str">
            <v>Totley Primary School</v>
          </cell>
          <cell r="C126" t="str">
            <v>Primary</v>
          </cell>
          <cell r="D126" t="str">
            <v>Recoupment Academy</v>
          </cell>
          <cell r="E126">
            <v>310</v>
          </cell>
          <cell r="H126">
            <v>8769.9</v>
          </cell>
        </row>
        <row r="127">
          <cell r="A127">
            <v>2034</v>
          </cell>
          <cell r="B127" t="str">
            <v>Valley Park Community School</v>
          </cell>
          <cell r="C127" t="str">
            <v>Primary</v>
          </cell>
          <cell r="D127" t="str">
            <v>Recoupment Academy</v>
          </cell>
          <cell r="E127">
            <v>455</v>
          </cell>
          <cell r="H127">
            <v>12871.949999999999</v>
          </cell>
        </row>
        <row r="128">
          <cell r="A128">
            <v>2351</v>
          </cell>
          <cell r="B128" t="str">
            <v>Walkley Primary School</v>
          </cell>
          <cell r="C128" t="str">
            <v>Primary</v>
          </cell>
          <cell r="D128">
            <v>0</v>
          </cell>
          <cell r="E128">
            <v>335</v>
          </cell>
          <cell r="H128">
            <v>9477.15</v>
          </cell>
        </row>
        <row r="129">
          <cell r="A129">
            <v>3432</v>
          </cell>
          <cell r="B129" t="str">
            <v>Watercliffe Meadow Community Primary School</v>
          </cell>
          <cell r="C129" t="str">
            <v>Primary</v>
          </cell>
          <cell r="D129">
            <v>0</v>
          </cell>
          <cell r="E129">
            <v>476</v>
          </cell>
          <cell r="H129">
            <v>13466.039999999999</v>
          </cell>
        </row>
        <row r="130">
          <cell r="A130">
            <v>2319</v>
          </cell>
          <cell r="B130" t="str">
            <v>Waterthorpe Infant School</v>
          </cell>
          <cell r="C130" t="str">
            <v>Primary</v>
          </cell>
          <cell r="D130">
            <v>0</v>
          </cell>
          <cell r="E130">
            <v>171</v>
          </cell>
          <cell r="H130">
            <v>4837.59</v>
          </cell>
        </row>
        <row r="131">
          <cell r="A131">
            <v>2352</v>
          </cell>
          <cell r="B131" t="str">
            <v>Westways Primary School</v>
          </cell>
          <cell r="C131" t="str">
            <v>Primary</v>
          </cell>
          <cell r="D131">
            <v>0</v>
          </cell>
          <cell r="E131">
            <v>610</v>
          </cell>
          <cell r="H131">
            <v>17256.899999999998</v>
          </cell>
        </row>
        <row r="132">
          <cell r="A132">
            <v>2311</v>
          </cell>
          <cell r="B132" t="str">
            <v>Wharncliffe Side Primary School</v>
          </cell>
          <cell r="C132" t="str">
            <v>Primary</v>
          </cell>
          <cell r="D132">
            <v>0</v>
          </cell>
          <cell r="E132">
            <v>171</v>
          </cell>
          <cell r="H132">
            <v>4837.59</v>
          </cell>
        </row>
        <row r="133">
          <cell r="A133">
            <v>2040</v>
          </cell>
          <cell r="B133" t="str">
            <v>Whiteways Primary School</v>
          </cell>
          <cell r="C133" t="str">
            <v>Primary</v>
          </cell>
          <cell r="D133">
            <v>0</v>
          </cell>
          <cell r="E133">
            <v>480</v>
          </cell>
          <cell r="H133">
            <v>13579.199999999999</v>
          </cell>
        </row>
        <row r="134">
          <cell r="A134">
            <v>2027</v>
          </cell>
          <cell r="B134" t="str">
            <v>Wincobank Nursery and Infant School</v>
          </cell>
          <cell r="C134" t="str">
            <v>Primary</v>
          </cell>
          <cell r="D134" t="str">
            <v>Recoupment Academy</v>
          </cell>
          <cell r="E134">
            <v>212</v>
          </cell>
          <cell r="H134">
            <v>5997.48</v>
          </cell>
        </row>
        <row r="135">
          <cell r="A135">
            <v>2361</v>
          </cell>
          <cell r="B135" t="str">
            <v>Windmill Hill Primary School</v>
          </cell>
          <cell r="C135" t="str">
            <v>Primary</v>
          </cell>
          <cell r="D135" t="str">
            <v>Recoupment Academy</v>
          </cell>
          <cell r="E135">
            <v>372</v>
          </cell>
          <cell r="H135">
            <v>10523.88</v>
          </cell>
        </row>
        <row r="136">
          <cell r="A136">
            <v>2043</v>
          </cell>
          <cell r="B136" t="str">
            <v>Wisewood Community Primary School</v>
          </cell>
          <cell r="C136" t="str">
            <v>Primary</v>
          </cell>
          <cell r="D136" t="str">
            <v>Recoupment Academy</v>
          </cell>
          <cell r="E136">
            <v>158</v>
          </cell>
          <cell r="H136">
            <v>4469.82</v>
          </cell>
        </row>
        <row r="137">
          <cell r="A137">
            <v>2139</v>
          </cell>
          <cell r="B137" t="str">
            <v>Woodhouse West Primary School</v>
          </cell>
          <cell r="C137" t="str">
            <v>Primary</v>
          </cell>
          <cell r="D137">
            <v>0</v>
          </cell>
          <cell r="E137">
            <v>372</v>
          </cell>
          <cell r="H137">
            <v>10523.88</v>
          </cell>
        </row>
        <row r="138">
          <cell r="A138">
            <v>2324</v>
          </cell>
          <cell r="B138" t="str">
            <v>Woodseats Primary School</v>
          </cell>
          <cell r="C138" t="str">
            <v>Primary</v>
          </cell>
          <cell r="D138">
            <v>0</v>
          </cell>
          <cell r="E138">
            <v>395</v>
          </cell>
          <cell r="H138">
            <v>11174.55</v>
          </cell>
        </row>
        <row r="139">
          <cell r="A139">
            <v>2327</v>
          </cell>
          <cell r="B139" t="str">
            <v>Woodthorpe Primary School</v>
          </cell>
          <cell r="C139" t="str">
            <v>Primary</v>
          </cell>
          <cell r="D139">
            <v>0</v>
          </cell>
          <cell r="E139">
            <v>420</v>
          </cell>
          <cell r="H139">
            <v>11881.8</v>
          </cell>
        </row>
        <row r="140">
          <cell r="A140">
            <v>2321</v>
          </cell>
          <cell r="B140" t="str">
            <v>Wybourn Community Primary &amp; Nursery School</v>
          </cell>
          <cell r="C140" t="str">
            <v>Primary</v>
          </cell>
          <cell r="D140" t="str">
            <v>Recoupment Academy</v>
          </cell>
          <cell r="E140">
            <v>523</v>
          </cell>
          <cell r="H140">
            <v>14795.67</v>
          </cell>
        </row>
        <row r="142">
          <cell r="B142" t="str">
            <v>Total Primary</v>
          </cell>
          <cell r="E142">
            <v>46872</v>
          </cell>
          <cell r="H142">
            <v>1326008.8799999994</v>
          </cell>
        </row>
        <row r="144">
          <cell r="B144" t="str">
            <v>Secondary</v>
          </cell>
          <cell r="H144">
            <v>45.56</v>
          </cell>
        </row>
        <row r="146">
          <cell r="A146">
            <v>5401</v>
          </cell>
          <cell r="B146" t="str">
            <v>All Saints' Catholic High School</v>
          </cell>
          <cell r="C146" t="str">
            <v>Secondary</v>
          </cell>
          <cell r="D146" t="str">
            <v>Recoupment Academy</v>
          </cell>
          <cell r="F146">
            <v>1411</v>
          </cell>
          <cell r="H146">
            <v>64285.16</v>
          </cell>
        </row>
        <row r="147">
          <cell r="A147">
            <v>4272</v>
          </cell>
          <cell r="B147" t="str">
            <v>Bradfield School</v>
          </cell>
          <cell r="C147" t="str">
            <v>Secondary</v>
          </cell>
          <cell r="D147" t="str">
            <v>Recoupment Academy</v>
          </cell>
          <cell r="F147">
            <v>1139</v>
          </cell>
          <cell r="H147">
            <v>51892.840000000004</v>
          </cell>
        </row>
        <row r="148">
          <cell r="A148">
            <v>4000</v>
          </cell>
          <cell r="B148" t="str">
            <v>Chaucer School</v>
          </cell>
          <cell r="C148" t="str">
            <v>Secondary</v>
          </cell>
          <cell r="D148" t="str">
            <v>Recoupment Academy</v>
          </cell>
          <cell r="F148">
            <v>840</v>
          </cell>
          <cell r="H148">
            <v>38270.400000000001</v>
          </cell>
        </row>
        <row r="149">
          <cell r="A149">
            <v>4012</v>
          </cell>
          <cell r="B149" t="str">
            <v>Ecclesfield School</v>
          </cell>
          <cell r="C149" t="str">
            <v>Secondary</v>
          </cell>
          <cell r="D149" t="str">
            <v>Recoupment Academy</v>
          </cell>
          <cell r="F149">
            <v>1701</v>
          </cell>
          <cell r="H149">
            <v>77497.56</v>
          </cell>
        </row>
        <row r="150">
          <cell r="A150">
            <v>4280</v>
          </cell>
          <cell r="B150" t="str">
            <v>Fir Vale School</v>
          </cell>
          <cell r="C150" t="str">
            <v>Secondary</v>
          </cell>
          <cell r="D150" t="str">
            <v>Recoupment Academy</v>
          </cell>
          <cell r="F150">
            <v>1061</v>
          </cell>
          <cell r="H150">
            <v>48339.16</v>
          </cell>
        </row>
        <row r="151">
          <cell r="A151">
            <v>4003</v>
          </cell>
          <cell r="B151" t="str">
            <v>Firth Park Academy</v>
          </cell>
          <cell r="C151" t="str">
            <v>Secondary</v>
          </cell>
          <cell r="D151" t="str">
            <v>Recoupment Academy</v>
          </cell>
          <cell r="F151">
            <v>1146</v>
          </cell>
          <cell r="H151">
            <v>52211.76</v>
          </cell>
        </row>
        <row r="152">
          <cell r="A152">
            <v>4007</v>
          </cell>
          <cell r="B152" t="str">
            <v>Forge Valley School</v>
          </cell>
          <cell r="C152" t="str">
            <v>Secondary</v>
          </cell>
          <cell r="D152" t="str">
            <v>Recoupment Academy</v>
          </cell>
          <cell r="F152">
            <v>1280</v>
          </cell>
          <cell r="H152">
            <v>58316.800000000003</v>
          </cell>
        </row>
        <row r="153">
          <cell r="A153">
            <v>4278</v>
          </cell>
          <cell r="B153" t="str">
            <v>Handsworth Grange Community Sports College</v>
          </cell>
          <cell r="C153" t="str">
            <v>Secondary</v>
          </cell>
          <cell r="D153" t="str">
            <v>Recoupment Academy</v>
          </cell>
          <cell r="F153">
            <v>1013</v>
          </cell>
          <cell r="H153">
            <v>46152.28</v>
          </cell>
        </row>
        <row r="154">
          <cell r="A154">
            <v>4257</v>
          </cell>
          <cell r="B154" t="str">
            <v>High Storrs School</v>
          </cell>
          <cell r="C154" t="str">
            <v>Secondary</v>
          </cell>
          <cell r="D154" t="str">
            <v>Recoupment Academy</v>
          </cell>
          <cell r="F154">
            <v>1637</v>
          </cell>
          <cell r="H154">
            <v>74581.72</v>
          </cell>
        </row>
        <row r="155">
          <cell r="A155">
            <v>4230</v>
          </cell>
          <cell r="B155" t="str">
            <v>King Ecgbert School</v>
          </cell>
          <cell r="C155" t="str">
            <v>Secondary</v>
          </cell>
          <cell r="D155" t="str">
            <v>Recoupment Academy</v>
          </cell>
          <cell r="F155">
            <v>1323</v>
          </cell>
          <cell r="H155">
            <v>60275.880000000005</v>
          </cell>
        </row>
        <row r="156">
          <cell r="A156">
            <v>4259</v>
          </cell>
          <cell r="B156" t="str">
            <v>King Edward VII School</v>
          </cell>
          <cell r="C156" t="str">
            <v>Secondary</v>
          </cell>
          <cell r="D156">
            <v>0</v>
          </cell>
          <cell r="F156">
            <v>1772</v>
          </cell>
          <cell r="H156">
            <v>80732.320000000007</v>
          </cell>
        </row>
        <row r="157">
          <cell r="A157">
            <v>4279</v>
          </cell>
          <cell r="B157" t="str">
            <v>Meadowhead School Academy Trust</v>
          </cell>
          <cell r="C157" t="str">
            <v>Secondary</v>
          </cell>
          <cell r="D157" t="str">
            <v>Recoupment Academy</v>
          </cell>
          <cell r="F157">
            <v>1813</v>
          </cell>
          <cell r="H157">
            <v>82600.28</v>
          </cell>
        </row>
        <row r="158">
          <cell r="A158">
            <v>4015</v>
          </cell>
          <cell r="B158" t="str">
            <v>Mercia School</v>
          </cell>
          <cell r="C158" t="str">
            <v>Secondary</v>
          </cell>
          <cell r="D158" t="str">
            <v>Recoupment Academy</v>
          </cell>
          <cell r="F158">
            <v>124</v>
          </cell>
          <cell r="H158">
            <v>5649.4400000000005</v>
          </cell>
        </row>
        <row r="159">
          <cell r="A159">
            <v>4008</v>
          </cell>
          <cell r="B159" t="str">
            <v>Newfield Secondary School</v>
          </cell>
          <cell r="C159" t="str">
            <v>Secondary</v>
          </cell>
          <cell r="D159" t="str">
            <v>Recoupment Academy</v>
          </cell>
          <cell r="F159">
            <v>1036</v>
          </cell>
          <cell r="H159">
            <v>47200.160000000003</v>
          </cell>
        </row>
        <row r="160">
          <cell r="A160">
            <v>5400</v>
          </cell>
          <cell r="B160" t="str">
            <v>Notre Dame High School</v>
          </cell>
          <cell r="C160" t="str">
            <v>Secondary</v>
          </cell>
          <cell r="D160" t="str">
            <v>Recoupment Academy</v>
          </cell>
          <cell r="F160">
            <v>1465</v>
          </cell>
          <cell r="H160">
            <v>66745.400000000009</v>
          </cell>
        </row>
        <row r="161">
          <cell r="A161">
            <v>4006</v>
          </cell>
          <cell r="B161" t="str">
            <v>Outwood Academy City</v>
          </cell>
          <cell r="C161" t="str">
            <v>Secondary</v>
          </cell>
          <cell r="D161" t="str">
            <v>Recoupment Academy</v>
          </cell>
          <cell r="F161">
            <v>1045</v>
          </cell>
          <cell r="H161">
            <v>47610.200000000004</v>
          </cell>
        </row>
        <row r="162">
          <cell r="A162">
            <v>6907</v>
          </cell>
          <cell r="B162" t="str">
            <v>Parkwood E-Act Academy</v>
          </cell>
          <cell r="C162" t="str">
            <v>Secondary</v>
          </cell>
          <cell r="D162" t="str">
            <v>Recoupment Academy</v>
          </cell>
          <cell r="F162">
            <v>859</v>
          </cell>
          <cell r="H162">
            <v>39136.04</v>
          </cell>
        </row>
        <row r="163">
          <cell r="A163">
            <v>6905</v>
          </cell>
          <cell r="B163" t="str">
            <v>Sheffield Park Academy</v>
          </cell>
          <cell r="C163" t="str">
            <v>Secondary</v>
          </cell>
          <cell r="D163" t="str">
            <v>Recoupment Academy</v>
          </cell>
          <cell r="F163">
            <v>1134</v>
          </cell>
          <cell r="H163">
            <v>51665.04</v>
          </cell>
        </row>
        <row r="164">
          <cell r="A164">
            <v>6906</v>
          </cell>
          <cell r="B164" t="str">
            <v>Sheffield Springs Academy</v>
          </cell>
          <cell r="C164" t="str">
            <v>Secondary</v>
          </cell>
          <cell r="D164" t="str">
            <v>Recoupment Academy</v>
          </cell>
          <cell r="F164">
            <v>686</v>
          </cell>
          <cell r="H164">
            <v>31254.16</v>
          </cell>
        </row>
        <row r="165">
          <cell r="A165">
            <v>4229</v>
          </cell>
          <cell r="B165" t="str">
            <v>Silverdale School</v>
          </cell>
          <cell r="C165" t="str">
            <v>Secondary</v>
          </cell>
          <cell r="D165" t="str">
            <v>Recoupment Academy</v>
          </cell>
          <cell r="F165">
            <v>1381</v>
          </cell>
          <cell r="H165">
            <v>62918.36</v>
          </cell>
        </row>
        <row r="166">
          <cell r="A166">
            <v>4271</v>
          </cell>
          <cell r="B166" t="str">
            <v>Stocksbridge High School</v>
          </cell>
          <cell r="C166" t="str">
            <v>Secondary</v>
          </cell>
          <cell r="D166" t="str">
            <v>Recoupment Academy</v>
          </cell>
          <cell r="F166">
            <v>805</v>
          </cell>
          <cell r="H166">
            <v>36675.800000000003</v>
          </cell>
        </row>
        <row r="167">
          <cell r="A167">
            <v>4234</v>
          </cell>
          <cell r="B167" t="str">
            <v>Tapton School</v>
          </cell>
          <cell r="C167" t="str">
            <v>Secondary</v>
          </cell>
          <cell r="D167" t="str">
            <v>Recoupment Academy</v>
          </cell>
          <cell r="F167">
            <v>1677</v>
          </cell>
          <cell r="H167">
            <v>76404.12000000001</v>
          </cell>
        </row>
        <row r="168">
          <cell r="A168">
            <v>4276</v>
          </cell>
          <cell r="B168" t="str">
            <v>The Birley Academy</v>
          </cell>
          <cell r="C168" t="str">
            <v>Secondary</v>
          </cell>
          <cell r="D168" t="str">
            <v>Recoupment Academy</v>
          </cell>
          <cell r="F168">
            <v>1139</v>
          </cell>
          <cell r="H168">
            <v>51892.840000000004</v>
          </cell>
        </row>
        <row r="169">
          <cell r="A169">
            <v>4004</v>
          </cell>
          <cell r="B169" t="str">
            <v>Utc Sheffield City Centre</v>
          </cell>
          <cell r="C169" t="str">
            <v>Secondary</v>
          </cell>
          <cell r="D169" t="str">
            <v>Recoupment Academy</v>
          </cell>
          <cell r="F169">
            <v>463</v>
          </cell>
          <cell r="H169">
            <v>21094.280000000002</v>
          </cell>
        </row>
        <row r="170">
          <cell r="A170">
            <v>4010</v>
          </cell>
          <cell r="B170" t="str">
            <v>UTC Sheffield Olympic Legacy Park</v>
          </cell>
          <cell r="C170" t="str">
            <v>Secondary</v>
          </cell>
          <cell r="D170" t="str">
            <v>Recoupment Academy</v>
          </cell>
          <cell r="F170">
            <v>405</v>
          </cell>
          <cell r="H170">
            <v>18451.8</v>
          </cell>
        </row>
        <row r="171">
          <cell r="A171">
            <v>4252</v>
          </cell>
          <cell r="B171" t="str">
            <v>Westfield School</v>
          </cell>
          <cell r="C171" t="str">
            <v>Secondary</v>
          </cell>
          <cell r="D171" t="str">
            <v>Recoupment Academy</v>
          </cell>
          <cell r="F171">
            <v>1132</v>
          </cell>
          <cell r="H171">
            <v>51573.920000000006</v>
          </cell>
        </row>
        <row r="172">
          <cell r="A172">
            <v>4016</v>
          </cell>
          <cell r="B172" t="str">
            <v>Yewlands Academy</v>
          </cell>
          <cell r="C172" t="str">
            <v>Secondary</v>
          </cell>
          <cell r="D172" t="str">
            <v>Recoupment Academy</v>
          </cell>
          <cell r="F172">
            <v>870</v>
          </cell>
          <cell r="H172">
            <v>39637.200000000004</v>
          </cell>
        </row>
        <row r="174">
          <cell r="B174" t="str">
            <v>Total Secondary</v>
          </cell>
          <cell r="E174">
            <v>0</v>
          </cell>
          <cell r="F174">
            <v>30357</v>
          </cell>
          <cell r="G174">
            <v>0</v>
          </cell>
          <cell r="H174">
            <v>1383064.9200000002</v>
          </cell>
        </row>
        <row r="176">
          <cell r="B176" t="str">
            <v>Middle Deemed Secondary</v>
          </cell>
        </row>
        <row r="178">
          <cell r="A178">
            <v>4014</v>
          </cell>
          <cell r="B178" t="str">
            <v>Astrea Academy Sheffield</v>
          </cell>
          <cell r="C178" t="str">
            <v>All-through</v>
          </cell>
          <cell r="D178" t="str">
            <v>Recoupment Academy</v>
          </cell>
          <cell r="E178">
            <v>29</v>
          </cell>
          <cell r="F178">
            <v>122</v>
          </cell>
          <cell r="H178">
            <v>6378.7300000000005</v>
          </cell>
        </row>
        <row r="179">
          <cell r="A179">
            <v>4225</v>
          </cell>
          <cell r="B179" t="str">
            <v>Hinde House 3-16 School</v>
          </cell>
          <cell r="C179" t="str">
            <v>All-through</v>
          </cell>
          <cell r="D179" t="str">
            <v>Recoupment Academy</v>
          </cell>
          <cell r="E179">
            <v>486</v>
          </cell>
          <cell r="F179">
            <v>840</v>
          </cell>
          <cell r="H179">
            <v>52019.34</v>
          </cell>
        </row>
        <row r="180">
          <cell r="A180">
            <v>4005</v>
          </cell>
          <cell r="B180" t="str">
            <v>Oasis Academy Don Valley</v>
          </cell>
          <cell r="C180" t="str">
            <v>All-through</v>
          </cell>
          <cell r="D180" t="str">
            <v>Recoupment Academy</v>
          </cell>
          <cell r="E180">
            <v>335</v>
          </cell>
          <cell r="F180">
            <v>118</v>
          </cell>
          <cell r="H180">
            <v>14853.23</v>
          </cell>
        </row>
        <row r="182">
          <cell r="B182" t="str">
            <v>Total Middle Demmed Secondary</v>
          </cell>
          <cell r="E182">
            <v>850</v>
          </cell>
          <cell r="F182">
            <v>1080</v>
          </cell>
          <cell r="G182">
            <v>0</v>
          </cell>
          <cell r="H182">
            <v>73251.3</v>
          </cell>
        </row>
        <row r="184">
          <cell r="B184" t="str">
            <v>Total All Mainstream Schools</v>
          </cell>
          <cell r="E184">
            <v>47722</v>
          </cell>
          <cell r="F184">
            <v>31437</v>
          </cell>
          <cell r="G184">
            <v>0</v>
          </cell>
          <cell r="H184">
            <v>2782325.0999999996</v>
          </cell>
        </row>
        <row r="187">
          <cell r="B187" t="str">
            <v>Special</v>
          </cell>
          <cell r="H187">
            <v>113.46</v>
          </cell>
        </row>
        <row r="189">
          <cell r="A189">
            <v>7010</v>
          </cell>
          <cell r="B189" t="str">
            <v>Bents Green School</v>
          </cell>
          <cell r="G189">
            <v>204</v>
          </cell>
          <cell r="H189">
            <v>23145.84</v>
          </cell>
        </row>
        <row r="190">
          <cell r="A190">
            <v>7013</v>
          </cell>
          <cell r="B190" t="str">
            <v>The Rowan School</v>
          </cell>
          <cell r="G190">
            <v>97</v>
          </cell>
          <cell r="H190">
            <v>11005.619999999999</v>
          </cell>
        </row>
        <row r="191">
          <cell r="A191">
            <v>7023</v>
          </cell>
          <cell r="B191" t="str">
            <v>Norfolk Park School</v>
          </cell>
          <cell r="G191">
            <v>93.5</v>
          </cell>
          <cell r="H191">
            <v>10608.51</v>
          </cell>
        </row>
        <row r="192">
          <cell r="A192">
            <v>7024</v>
          </cell>
          <cell r="B192" t="str">
            <v>Talbot Specialist School</v>
          </cell>
          <cell r="G192">
            <v>172</v>
          </cell>
          <cell r="H192">
            <v>19515.12</v>
          </cell>
        </row>
        <row r="193">
          <cell r="A193">
            <v>7026</v>
          </cell>
          <cell r="B193" t="str">
            <v>Woolley Wood School</v>
          </cell>
          <cell r="G193">
            <v>101.5</v>
          </cell>
          <cell r="H193">
            <v>11516.189999999999</v>
          </cell>
        </row>
        <row r="194">
          <cell r="A194">
            <v>7036</v>
          </cell>
          <cell r="B194" t="str">
            <v>Mossbrook School</v>
          </cell>
          <cell r="G194">
            <v>116</v>
          </cell>
          <cell r="H194">
            <v>13161.359999999999</v>
          </cell>
        </row>
        <row r="195">
          <cell r="A195">
            <v>7038</v>
          </cell>
          <cell r="B195" t="str">
            <v>Becton School</v>
          </cell>
          <cell r="G195">
            <v>75</v>
          </cell>
          <cell r="H195">
            <v>8509.5</v>
          </cell>
        </row>
        <row r="196">
          <cell r="A196">
            <v>7040</v>
          </cell>
          <cell r="B196" t="str">
            <v>Heritage Park School</v>
          </cell>
          <cell r="G196">
            <v>102</v>
          </cell>
          <cell r="H196">
            <v>11572.92</v>
          </cell>
        </row>
        <row r="197">
          <cell r="A197">
            <v>7041</v>
          </cell>
          <cell r="B197" t="str">
            <v>Holgate Meadows School</v>
          </cell>
          <cell r="G197">
            <v>101</v>
          </cell>
          <cell r="H197">
            <v>11459.46</v>
          </cell>
        </row>
        <row r="198">
          <cell r="A198">
            <v>7043</v>
          </cell>
          <cell r="B198" t="str">
            <v>Seven Hills School</v>
          </cell>
          <cell r="G198">
            <v>165</v>
          </cell>
          <cell r="H198">
            <v>18720.899999999998</v>
          </cell>
        </row>
        <row r="199">
          <cell r="A199">
            <v>1100</v>
          </cell>
          <cell r="B199" t="str">
            <v>Sheffield Inclusion Centre</v>
          </cell>
          <cell r="H199">
            <v>0</v>
          </cell>
        </row>
        <row r="201">
          <cell r="B201" t="str">
            <v>Total Special</v>
          </cell>
          <cell r="E201">
            <v>0</v>
          </cell>
          <cell r="F201">
            <v>0</v>
          </cell>
          <cell r="G201">
            <v>1227</v>
          </cell>
          <cell r="H201">
            <v>139215.41999999998</v>
          </cell>
        </row>
        <row r="203">
          <cell r="B203" t="str">
            <v>TOTAL ALL SCHOOLS</v>
          </cell>
          <cell r="E203">
            <v>47722</v>
          </cell>
          <cell r="F203">
            <v>31437</v>
          </cell>
          <cell r="G203">
            <v>1227</v>
          </cell>
          <cell r="H203">
            <v>2921540.5199999996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ober numbers"/>
      <sheetName val="IR Budget 2019 20"/>
    </sheetNames>
    <sheetDataSet>
      <sheetData sheetId="0" refreshError="1"/>
      <sheetData sheetId="1" refreshError="1">
        <row r="1">
          <cell r="C1">
            <v>0</v>
          </cell>
          <cell r="D1" t="str">
            <v>Indicative IR Budgets 2019/20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</row>
        <row r="3">
          <cell r="C3" t="str">
            <v>DfE</v>
          </cell>
          <cell r="D3">
            <v>0</v>
          </cell>
          <cell r="E3" t="str">
            <v>informed EFA</v>
          </cell>
          <cell r="F3" t="str">
            <v>Currently Placed or Committed</v>
          </cell>
          <cell r="G3" t="str">
            <v>Places funded Sept  to March</v>
          </cell>
          <cell r="H3" t="str">
            <v>Places funded for full 19-20 financial year</v>
          </cell>
          <cell r="I3" t="str">
            <v>2018 / 2019 rate                £</v>
          </cell>
          <cell r="J3" t="str">
            <v>2019 / 20 rate                £</v>
          </cell>
          <cell r="K3" t="str">
            <v>Total Funding Due                          £</v>
          </cell>
          <cell r="L3" t="str">
            <v>Element 1 Places Funded through the School Block</v>
          </cell>
          <cell r="M3" t="str">
            <v>Element 1      Paid through the School Block                    £</v>
          </cell>
        </row>
        <row r="4">
          <cell r="C4">
            <v>5401</v>
          </cell>
          <cell r="D4" t="str">
            <v>All  Saints Catholic</v>
          </cell>
          <cell r="E4">
            <v>4</v>
          </cell>
          <cell r="F4">
            <v>7</v>
          </cell>
          <cell r="G4">
            <v>7</v>
          </cell>
          <cell r="H4">
            <v>7.0000000000000009</v>
          </cell>
          <cell r="I4">
            <v>10776.512578855501</v>
          </cell>
          <cell r="J4">
            <v>10884.277704644057</v>
          </cell>
          <cell r="K4">
            <v>76189.943932508409</v>
          </cell>
          <cell r="L4">
            <v>7</v>
          </cell>
          <cell r="M4">
            <v>33800.71498466604</v>
          </cell>
        </row>
        <row r="5">
          <cell r="C5">
            <v>3429</v>
          </cell>
          <cell r="D5" t="str">
            <v xml:space="preserve">Arbourthorne Community Primary </v>
          </cell>
          <cell r="E5">
            <v>0</v>
          </cell>
          <cell r="F5">
            <v>10</v>
          </cell>
          <cell r="G5">
            <v>10</v>
          </cell>
          <cell r="H5">
            <v>10</v>
          </cell>
          <cell r="I5">
            <v>12390.563002810359</v>
          </cell>
          <cell r="J5">
            <v>12514.468632838463</v>
          </cell>
          <cell r="K5">
            <v>125144.68632838463</v>
          </cell>
          <cell r="L5">
            <v>10</v>
          </cell>
          <cell r="M5">
            <v>46282.093841713693</v>
          </cell>
        </row>
        <row r="6">
          <cell r="C6">
            <v>4276</v>
          </cell>
          <cell r="D6" t="str">
            <v>The Birley Academy</v>
          </cell>
          <cell r="E6">
            <v>23</v>
          </cell>
          <cell r="F6">
            <v>24</v>
          </cell>
          <cell r="G6">
            <v>24</v>
          </cell>
          <cell r="H6">
            <v>24</v>
          </cell>
          <cell r="I6">
            <v>13205.93048729467</v>
          </cell>
          <cell r="J6">
            <v>13337.989792167617</v>
          </cell>
          <cell r="K6">
            <v>320111.7550120228</v>
          </cell>
          <cell r="L6">
            <v>22</v>
          </cell>
          <cell r="M6">
            <v>105665.51949835259</v>
          </cell>
        </row>
        <row r="7">
          <cell r="C7">
            <v>2323</v>
          </cell>
          <cell r="D7" t="str">
            <v>Birley Spa Community Primary</v>
          </cell>
          <cell r="E7">
            <v>12</v>
          </cell>
          <cell r="F7">
            <v>12</v>
          </cell>
          <cell r="G7">
            <v>12</v>
          </cell>
          <cell r="H7">
            <v>12</v>
          </cell>
          <cell r="I7">
            <v>12175.686294555395</v>
          </cell>
          <cell r="J7">
            <v>12297.443157500949</v>
          </cell>
          <cell r="K7">
            <v>147569.31789001139</v>
          </cell>
          <cell r="L7">
            <v>10</v>
          </cell>
          <cell r="M7">
            <v>40172.165549255013</v>
          </cell>
        </row>
        <row r="8">
          <cell r="C8">
            <v>4007</v>
          </cell>
          <cell r="D8" t="str">
            <v xml:space="preserve">Forge Valley Community </v>
          </cell>
          <cell r="E8">
            <v>14</v>
          </cell>
          <cell r="F8">
            <v>25</v>
          </cell>
          <cell r="G8">
            <v>25</v>
          </cell>
          <cell r="H8">
            <v>25</v>
          </cell>
          <cell r="I8">
            <v>13237.45416884531</v>
          </cell>
          <cell r="J8">
            <v>13369.828710533764</v>
          </cell>
          <cell r="K8">
            <v>334245.71776334412</v>
          </cell>
          <cell r="L8">
            <v>25</v>
          </cell>
          <cell r="M8">
            <v>120000</v>
          </cell>
        </row>
        <row r="9">
          <cell r="C9">
            <v>2010</v>
          </cell>
          <cell r="D9" t="str">
            <v>Fox Hill Primary</v>
          </cell>
          <cell r="E9">
            <v>18</v>
          </cell>
          <cell r="F9">
            <v>24</v>
          </cell>
          <cell r="G9">
            <v>24</v>
          </cell>
          <cell r="H9">
            <v>24</v>
          </cell>
          <cell r="I9">
            <v>13024.327022823671</v>
          </cell>
          <cell r="J9">
            <v>13154.570293051907</v>
          </cell>
          <cell r="K9">
            <v>315709.68703324581</v>
          </cell>
          <cell r="L9">
            <v>22</v>
          </cell>
          <cell r="M9">
            <v>110134.30312808363</v>
          </cell>
        </row>
        <row r="10">
          <cell r="C10">
            <v>4230</v>
          </cell>
          <cell r="D10" t="str">
            <v>King Ecgbert School</v>
          </cell>
          <cell r="E10">
            <v>24</v>
          </cell>
          <cell r="F10">
            <v>26</v>
          </cell>
          <cell r="G10">
            <v>26</v>
          </cell>
          <cell r="H10">
            <v>26</v>
          </cell>
          <cell r="I10">
            <v>13216.777862474806</v>
          </cell>
          <cell r="J10">
            <v>13348.945641099554</v>
          </cell>
          <cell r="K10">
            <v>347072.5866685884</v>
          </cell>
          <cell r="L10">
            <v>26</v>
          </cell>
          <cell r="M10">
            <v>133544.18055111705</v>
          </cell>
        </row>
        <row r="11">
          <cell r="C11">
            <v>2087</v>
          </cell>
          <cell r="D11" t="str">
            <v xml:space="preserve">Nether Green Junior </v>
          </cell>
          <cell r="E11">
            <v>0</v>
          </cell>
          <cell r="F11">
            <v>13</v>
          </cell>
          <cell r="G11">
            <v>13</v>
          </cell>
          <cell r="H11">
            <v>13</v>
          </cell>
          <cell r="I11">
            <v>12175.686294555393</v>
          </cell>
          <cell r="J11">
            <v>12297.443157500948</v>
          </cell>
          <cell r="K11">
            <v>159866.76104751232</v>
          </cell>
          <cell r="L11">
            <v>13</v>
          </cell>
          <cell r="M11">
            <v>47179.744030463597</v>
          </cell>
        </row>
        <row r="12">
          <cell r="C12">
            <v>2309</v>
          </cell>
          <cell r="D12" t="str">
            <v xml:space="preserve">Nook Lane Junior </v>
          </cell>
          <cell r="E12">
            <v>0</v>
          </cell>
          <cell r="F12">
            <v>13</v>
          </cell>
          <cell r="G12">
            <v>13</v>
          </cell>
          <cell r="H12">
            <v>13</v>
          </cell>
          <cell r="I12">
            <v>12175.686294555395</v>
          </cell>
          <cell r="J12">
            <v>12297.443157500949</v>
          </cell>
          <cell r="K12">
            <v>159866.76104751235</v>
          </cell>
          <cell r="L12">
            <v>13</v>
          </cell>
          <cell r="M12">
            <v>52605.671377353465</v>
          </cell>
        </row>
        <row r="13">
          <cell r="C13">
            <v>3414</v>
          </cell>
          <cell r="D13" t="str">
            <v>St. Thomas of Canterbury Catholic Primary</v>
          </cell>
          <cell r="E13">
            <v>5</v>
          </cell>
          <cell r="F13">
            <v>15</v>
          </cell>
          <cell r="G13">
            <v>15</v>
          </cell>
          <cell r="H13">
            <v>15</v>
          </cell>
          <cell r="I13">
            <v>12176</v>
          </cell>
          <cell r="J13">
            <v>12297.76</v>
          </cell>
          <cell r="K13">
            <v>184466.4</v>
          </cell>
          <cell r="L13">
            <v>15</v>
          </cell>
          <cell r="M13">
            <v>58794.820886793052</v>
          </cell>
        </row>
        <row r="14">
          <cell r="C14">
            <v>2350</v>
          </cell>
          <cell r="D14" t="str">
            <v>Stradbroke Primary School</v>
          </cell>
          <cell r="E14">
            <v>0</v>
          </cell>
          <cell r="F14">
            <v>25</v>
          </cell>
          <cell r="G14">
            <v>25</v>
          </cell>
          <cell r="H14">
            <v>25</v>
          </cell>
          <cell r="I14">
            <v>12175.686294555395</v>
          </cell>
          <cell r="J14">
            <v>12297.443157500949</v>
          </cell>
          <cell r="K14">
            <v>307436.07893752371</v>
          </cell>
          <cell r="L14">
            <v>22</v>
          </cell>
          <cell r="M14">
            <v>91598.327956038556</v>
          </cell>
        </row>
        <row r="15">
          <cell r="C15">
            <v>2311</v>
          </cell>
          <cell r="D15" t="str">
            <v xml:space="preserve">Wharncliffe Side Primary </v>
          </cell>
          <cell r="E15">
            <v>0</v>
          </cell>
          <cell r="F15">
            <v>21</v>
          </cell>
          <cell r="G15">
            <v>21</v>
          </cell>
          <cell r="H15">
            <v>21</v>
          </cell>
          <cell r="I15">
            <v>12744.531448396101</v>
          </cell>
          <cell r="J15">
            <v>12871.976762880062</v>
          </cell>
          <cell r="K15">
            <v>270311.51202048128</v>
          </cell>
          <cell r="L15">
            <v>16</v>
          </cell>
          <cell r="M15">
            <v>73000.633434882489</v>
          </cell>
        </row>
        <row r="16">
          <cell r="C16">
            <v>0</v>
          </cell>
          <cell r="D16" t="str">
            <v xml:space="preserve">Total </v>
          </cell>
          <cell r="E16">
            <v>100</v>
          </cell>
          <cell r="F16">
            <v>215</v>
          </cell>
          <cell r="G16">
            <v>215</v>
          </cell>
          <cell r="H16">
            <v>215</v>
          </cell>
          <cell r="I16">
            <v>0</v>
          </cell>
          <cell r="J16">
            <v>0</v>
          </cell>
          <cell r="K16">
            <v>2747991.2076811348</v>
          </cell>
          <cell r="L16">
            <v>201</v>
          </cell>
          <cell r="M16">
            <v>912778.17523871933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82</v>
          </cell>
          <cell r="G18">
            <v>82</v>
          </cell>
          <cell r="H18">
            <v>82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133</v>
          </cell>
          <cell r="G19">
            <v>133</v>
          </cell>
          <cell r="H19">
            <v>133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F20">
            <v>215</v>
          </cell>
          <cell r="G20">
            <v>215</v>
          </cell>
          <cell r="H20">
            <v>215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H39" t="str">
            <v>maintained</v>
          </cell>
          <cell r="I39">
            <v>0</v>
          </cell>
          <cell r="J39">
            <v>0</v>
          </cell>
          <cell r="K39">
            <v>0</v>
          </cell>
          <cell r="L39">
            <v>74</v>
          </cell>
          <cell r="M39">
            <v>310666.47064045182</v>
          </cell>
        </row>
        <row r="40">
          <cell r="H40" t="str">
            <v>Academy</v>
          </cell>
          <cell r="I40">
            <v>0</v>
          </cell>
          <cell r="J40">
            <v>0</v>
          </cell>
          <cell r="K40">
            <v>0</v>
          </cell>
          <cell r="L40">
            <v>127</v>
          </cell>
          <cell r="M40">
            <v>602111.70459826733</v>
          </cell>
        </row>
        <row r="41"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H42" t="str">
            <v>Primary Academy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209101.2895641317</v>
          </cell>
        </row>
        <row r="43">
          <cell r="H43" t="str">
            <v>Secondary Academy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393010.41503413569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vertors"/>
      <sheetName val="summary"/>
      <sheetName val="A4 Sheet"/>
      <sheetName val="Alloc Dec18"/>
      <sheetName val="Dec18 AP"/>
      <sheetName val="Alloc Jun18"/>
      <sheetName val="Jun 18 AP"/>
      <sheetName val="Est. 1819"/>
      <sheetName val="Cash Adv Jun"/>
      <sheetName val="Cash Adv Oct"/>
      <sheetName val="Cash Adv Jan"/>
      <sheetName val="Cash Adv Jan Qtier"/>
      <sheetName val="Cash Adv Mar"/>
      <sheetName val="Allocations"/>
      <sheetName val="Payments"/>
      <sheetName val="Monitoring"/>
    </sheetNames>
    <sheetDataSet>
      <sheetData sheetId="0"/>
      <sheetData sheetId="1">
        <row r="1">
          <cell r="E1" t="str">
            <v>Pri</v>
          </cell>
          <cell r="F1" t="str">
            <v>Sec</v>
          </cell>
          <cell r="G1" t="str">
            <v>Service</v>
          </cell>
          <cell r="H1" t="str">
            <v>Adopt</v>
          </cell>
          <cell r="J1" t="str">
            <v>Primary</v>
          </cell>
          <cell r="K1"/>
          <cell r="L1">
            <v>1320</v>
          </cell>
          <cell r="M1"/>
          <cell r="N1"/>
          <cell r="O1">
            <v>43191</v>
          </cell>
          <cell r="P1"/>
          <cell r="Q1">
            <v>43344</v>
          </cell>
          <cell r="R1">
            <v>43466</v>
          </cell>
          <cell r="S1"/>
          <cell r="T1"/>
          <cell r="AC1"/>
          <cell r="AD1">
            <v>9</v>
          </cell>
          <cell r="AE1">
            <v>12</v>
          </cell>
          <cell r="AF1">
            <v>12</v>
          </cell>
          <cell r="AH1" t="str">
            <v>Conversion</v>
          </cell>
          <cell r="AI1">
            <v>0</v>
          </cell>
          <cell r="BP1">
            <v>0</v>
          </cell>
        </row>
        <row r="2">
          <cell r="E2">
            <v>1320</v>
          </cell>
          <cell r="F2">
            <v>935</v>
          </cell>
          <cell r="G2">
            <v>300</v>
          </cell>
          <cell r="H2">
            <v>2300</v>
          </cell>
          <cell r="J2" t="str">
            <v>Secondary</v>
          </cell>
          <cell r="K2"/>
          <cell r="L2">
            <v>935</v>
          </cell>
          <cell r="M2"/>
          <cell r="O2" t="str">
            <v>Summer</v>
          </cell>
          <cell r="P2">
            <v>0</v>
          </cell>
          <cell r="Q2" t="str">
            <v>Autumn</v>
          </cell>
          <cell r="R2" t="str">
            <v>Spring</v>
          </cell>
          <cell r="S2"/>
          <cell r="T2"/>
          <cell r="AC2" t="str">
            <v>Period 04</v>
          </cell>
          <cell r="AD2" t="str">
            <v>Period 07</v>
          </cell>
          <cell r="AE2" t="str">
            <v>Period 10</v>
          </cell>
          <cell r="AF2" t="str">
            <v>Period 13</v>
          </cell>
          <cell r="AH2">
            <v>43191</v>
          </cell>
          <cell r="AI2" t="str">
            <v>Summer</v>
          </cell>
          <cell r="BP2">
            <v>0</v>
          </cell>
        </row>
        <row r="3">
          <cell r="J3"/>
          <cell r="K3"/>
          <cell r="L3"/>
          <cell r="M3"/>
          <cell r="O3">
            <v>5</v>
          </cell>
          <cell r="P3">
            <v>12</v>
          </cell>
          <cell r="Q3">
            <v>9</v>
          </cell>
          <cell r="R3">
            <v>12</v>
          </cell>
          <cell r="S3"/>
          <cell r="T3"/>
          <cell r="X3">
            <v>0</v>
          </cell>
          <cell r="AC3" t="str">
            <v>Cash Advance</v>
          </cell>
          <cell r="AD3" t="str">
            <v>Cash Advance</v>
          </cell>
          <cell r="AE3" t="str">
            <v>Cash Advance</v>
          </cell>
          <cell r="AF3" t="str">
            <v>Cash Advance</v>
          </cell>
          <cell r="AH3">
            <v>43221</v>
          </cell>
          <cell r="AI3" t="str">
            <v>Summer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 t="e">
            <v>#REF!</v>
          </cell>
          <cell r="AS3" t="e">
            <v>#REF!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  <cell r="AZ3" t="e">
            <v>#REF!</v>
          </cell>
          <cell r="BA3" t="e">
            <v>#REF!</v>
          </cell>
          <cell r="BB3" t="e">
            <v>#REF!</v>
          </cell>
          <cell r="BC3" t="e">
            <v>#REF!</v>
          </cell>
          <cell r="BP3">
            <v>0</v>
          </cell>
        </row>
        <row r="4">
          <cell r="N4" t="str">
            <v>Primary</v>
          </cell>
          <cell r="O4">
            <v>1320</v>
          </cell>
          <cell r="P4">
            <v>1320</v>
          </cell>
          <cell r="Q4">
            <v>1320</v>
          </cell>
          <cell r="R4">
            <v>1320</v>
          </cell>
          <cell r="S4"/>
          <cell r="T4"/>
          <cell r="AC4" t="str">
            <v>July</v>
          </cell>
          <cell r="AD4" t="str">
            <v>Oct</v>
          </cell>
          <cell r="AE4" t="str">
            <v>Jan</v>
          </cell>
          <cell r="AF4" t="str">
            <v>Mar</v>
          </cell>
          <cell r="AH4">
            <v>43252</v>
          </cell>
          <cell r="AI4" t="str">
            <v>Summer</v>
          </cell>
          <cell r="AM4">
            <v>1320</v>
          </cell>
          <cell r="AN4">
            <v>935</v>
          </cell>
          <cell r="AO4">
            <v>300</v>
          </cell>
          <cell r="AP4">
            <v>2300</v>
          </cell>
          <cell r="AQ4">
            <v>0</v>
          </cell>
        </row>
        <row r="5">
          <cell r="E5" t="str">
            <v>Verified June 2018 Numbers</v>
          </cell>
          <cell r="F5"/>
          <cell r="G5"/>
          <cell r="H5"/>
          <cell r="N5" t="str">
            <v>Secondary</v>
          </cell>
          <cell r="O5">
            <v>935</v>
          </cell>
          <cell r="P5">
            <v>935</v>
          </cell>
          <cell r="Q5">
            <v>935</v>
          </cell>
          <cell r="R5">
            <v>935</v>
          </cell>
          <cell r="S5"/>
          <cell r="T5"/>
          <cell r="AC5"/>
          <cell r="AD5"/>
          <cell r="AE5">
            <v>0</v>
          </cell>
          <cell r="AF5">
            <v>0</v>
          </cell>
          <cell r="AH5">
            <v>0</v>
          </cell>
          <cell r="AI5">
            <v>0</v>
          </cell>
          <cell r="AM5" t="str">
            <v>Revised for December 2017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V5" t="str">
            <v>Variance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L5" t="str">
            <v>Actual Amount Advanced £</v>
          </cell>
          <cell r="BM5">
            <v>0</v>
          </cell>
          <cell r="BN5">
            <v>0</v>
          </cell>
        </row>
        <row r="6">
          <cell r="C6" t="str">
            <v>DfE</v>
          </cell>
          <cell r="D6" t="str">
            <v>School</v>
          </cell>
          <cell r="E6" t="str">
            <v>Pri Ever6 No.</v>
          </cell>
          <cell r="F6" t="str">
            <v>Sec Ever6 No.</v>
          </cell>
          <cell r="G6" t="str">
            <v>Service Children No.</v>
          </cell>
          <cell r="H6" t="str">
            <v>Adopted from Care</v>
          </cell>
          <cell r="I6" t="str">
            <v>PPG Allocation £</v>
          </cell>
          <cell r="J6" t="str">
            <v>Service Children Allocation £</v>
          </cell>
          <cell r="K6" t="str">
            <v>Adopted from Care Allocation £</v>
          </cell>
          <cell r="L6" t="str">
            <v>Total PPG Allocation £</v>
          </cell>
          <cell r="M6" t="str">
            <v>check</v>
          </cell>
          <cell r="N6" t="str">
            <v>Academy Convertor</v>
          </cell>
          <cell r="O6" t="str">
            <v>Date of Conversion</v>
          </cell>
          <cell r="P6"/>
          <cell r="Q6" t="str">
            <v>Term Paid upto :</v>
          </cell>
          <cell r="R6" t="str">
            <v>Funded 12ths</v>
          </cell>
          <cell r="S6" t="str">
            <v>Pri Alloc per pupil £</v>
          </cell>
          <cell r="T6" t="str">
            <v>Sec Alloc per pupil £</v>
          </cell>
          <cell r="U6" t="str">
            <v>Amount Due £</v>
          </cell>
          <cell r="V6" t="str">
            <v>Pri Ever6</v>
          </cell>
          <cell r="W6" t="str">
            <v>Sec Ever6</v>
          </cell>
          <cell r="X6" t="str">
            <v>Service Children</v>
          </cell>
          <cell r="Y6" t="str">
            <v>Post LAC</v>
          </cell>
          <cell r="Z6" t="str">
            <v>Updated Amount Dec 18 £</v>
          </cell>
          <cell r="AA6" t="str">
            <v>Var £</v>
          </cell>
          <cell r="AB6"/>
          <cell r="AC6" t="str">
            <v>Qtr 1 Payment</v>
          </cell>
          <cell r="AD6" t="str">
            <v>Qtr 2 Payment</v>
          </cell>
          <cell r="AE6" t="str">
            <v>Qtr 3 Payment</v>
          </cell>
          <cell r="AF6" t="str">
            <v>Qtr 4 Payment</v>
          </cell>
          <cell r="AG6" t="str">
            <v>Check</v>
          </cell>
          <cell r="AH6">
            <v>43282</v>
          </cell>
          <cell r="AI6" t="str">
            <v>Summer</v>
          </cell>
          <cell r="AM6" t="str">
            <v>Pri Ever6 No.</v>
          </cell>
          <cell r="AN6" t="str">
            <v>Sec Ever6 No.</v>
          </cell>
          <cell r="AO6" t="str">
            <v>Service Children No.</v>
          </cell>
          <cell r="AP6" t="str">
            <v>Adopted from Care</v>
          </cell>
          <cell r="AQ6" t="str">
            <v>Pri Ever6 No.</v>
          </cell>
          <cell r="AR6" t="str">
            <v>Sec Ever6 No.</v>
          </cell>
          <cell r="AS6" t="str">
            <v>Service Children No.</v>
          </cell>
          <cell r="AT6" t="str">
            <v>Adopted from Care</v>
          </cell>
          <cell r="AV6" t="str">
            <v>Pri Ever6 No.</v>
          </cell>
          <cell r="AW6" t="str">
            <v>Sec Ever6 No.</v>
          </cell>
          <cell r="AX6" t="str">
            <v>Service Children No.</v>
          </cell>
          <cell r="AY6" t="str">
            <v>Adopted from Care</v>
          </cell>
          <cell r="AZ6" t="str">
            <v>Pri Ever6 No.</v>
          </cell>
          <cell r="BA6" t="str">
            <v>Sec Ever6 No.</v>
          </cell>
          <cell r="BB6" t="str">
            <v>Service Children No.</v>
          </cell>
          <cell r="BC6" t="str">
            <v>Adopted from Care</v>
          </cell>
          <cell r="BG6" t="str">
            <v>Orig Amount Due £</v>
          </cell>
          <cell r="BH6" t="str">
            <v>Var Orig to Jul rev</v>
          </cell>
          <cell r="BL6" t="str">
            <v>OEO</v>
          </cell>
          <cell r="BM6" t="str">
            <v>Sch</v>
          </cell>
          <cell r="BN6" t="str">
            <v>Amount £</v>
          </cell>
          <cell r="BP6" t="str">
            <v>Orig. Est. PPG Allocation £</v>
          </cell>
        </row>
        <row r="7"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43313</v>
          </cell>
          <cell r="AI7" t="str">
            <v>Summer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U7">
            <v>41</v>
          </cell>
          <cell r="AV7">
            <v>42</v>
          </cell>
          <cell r="AW7">
            <v>43</v>
          </cell>
          <cell r="AX7">
            <v>44</v>
          </cell>
          <cell r="AY7">
            <v>45</v>
          </cell>
          <cell r="AZ7">
            <v>46</v>
          </cell>
          <cell r="BA7">
            <v>47</v>
          </cell>
          <cell r="BB7">
            <v>48</v>
          </cell>
          <cell r="BC7">
            <v>49</v>
          </cell>
          <cell r="BD7">
            <v>50</v>
          </cell>
          <cell r="BN7" t="str">
            <v>07 PPG</v>
          </cell>
          <cell r="BP7">
            <v>10</v>
          </cell>
        </row>
        <row r="8">
          <cell r="C8">
            <v>2001</v>
          </cell>
          <cell r="D8" t="str">
            <v>Abbey Lane Primary School</v>
          </cell>
          <cell r="E8">
            <v>70</v>
          </cell>
          <cell r="F8">
            <v>0</v>
          </cell>
          <cell r="G8">
            <v>0</v>
          </cell>
          <cell r="H8">
            <v>0</v>
          </cell>
          <cell r="I8">
            <v>92400</v>
          </cell>
          <cell r="J8">
            <v>0</v>
          </cell>
          <cell r="K8">
            <v>0</v>
          </cell>
          <cell r="L8">
            <v>92400</v>
          </cell>
          <cell r="M8"/>
          <cell r="N8">
            <v>0</v>
          </cell>
          <cell r="O8">
            <v>0</v>
          </cell>
          <cell r="P8" t="b">
            <v>0</v>
          </cell>
          <cell r="Q8">
            <v>0</v>
          </cell>
          <cell r="R8">
            <v>12</v>
          </cell>
          <cell r="S8">
            <v>1320</v>
          </cell>
          <cell r="U8">
            <v>92400</v>
          </cell>
          <cell r="V8">
            <v>70</v>
          </cell>
          <cell r="W8">
            <v>0</v>
          </cell>
          <cell r="X8">
            <v>0</v>
          </cell>
          <cell r="Y8">
            <v>0</v>
          </cell>
          <cell r="Z8">
            <v>92400</v>
          </cell>
          <cell r="AA8">
            <v>0</v>
          </cell>
          <cell r="AB8">
            <v>0</v>
          </cell>
          <cell r="AC8">
            <v>22770</v>
          </cell>
          <cell r="AD8">
            <v>23210</v>
          </cell>
          <cell r="AE8">
            <v>23210</v>
          </cell>
          <cell r="AF8">
            <v>23210</v>
          </cell>
          <cell r="AG8">
            <v>0</v>
          </cell>
          <cell r="AH8">
            <v>43344</v>
          </cell>
          <cell r="AI8" t="str">
            <v>Summer</v>
          </cell>
          <cell r="AK8">
            <v>91080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  <cell r="AQ8" t="e">
            <v>#REF!</v>
          </cell>
          <cell r="AR8" t="e">
            <v>#REF!</v>
          </cell>
          <cell r="AS8" t="e">
            <v>#REF!</v>
          </cell>
          <cell r="AT8" t="e">
            <v>#REF!</v>
          </cell>
          <cell r="AV8" t="e">
            <v>#REF!</v>
          </cell>
          <cell r="AW8" t="e">
            <v>#REF!</v>
          </cell>
          <cell r="AX8" t="e">
            <v>#REF!</v>
          </cell>
          <cell r="AY8" t="e">
            <v>#REF!</v>
          </cell>
          <cell r="AZ8" t="e">
            <v>#REF!</v>
          </cell>
          <cell r="BA8" t="e">
            <v>#REF!</v>
          </cell>
          <cell r="BB8" t="e">
            <v>#REF!</v>
          </cell>
          <cell r="BC8" t="e">
            <v>#REF!</v>
          </cell>
          <cell r="BD8">
            <v>0</v>
          </cell>
          <cell r="BG8">
            <v>75820</v>
          </cell>
          <cell r="BH8">
            <v>-16580</v>
          </cell>
          <cell r="BI8">
            <v>0</v>
          </cell>
          <cell r="BJ8">
            <v>-69190</v>
          </cell>
          <cell r="BK8">
            <v>0</v>
          </cell>
          <cell r="BL8">
            <v>72000</v>
          </cell>
          <cell r="BM8" t="e">
            <v>#N/A</v>
          </cell>
          <cell r="BN8">
            <v>193050</v>
          </cell>
          <cell r="BP8">
            <v>91080</v>
          </cell>
        </row>
        <row r="9">
          <cell r="C9">
            <v>2046</v>
          </cell>
          <cell r="D9" t="str">
            <v>Abbeyfield Primary (prev. Firs Hill)</v>
          </cell>
          <cell r="E9">
            <v>170</v>
          </cell>
          <cell r="F9">
            <v>0</v>
          </cell>
          <cell r="G9">
            <v>0</v>
          </cell>
          <cell r="H9">
            <v>0</v>
          </cell>
          <cell r="I9">
            <v>224400</v>
          </cell>
          <cell r="J9">
            <v>0</v>
          </cell>
          <cell r="K9">
            <v>0</v>
          </cell>
          <cell r="L9">
            <v>224400</v>
          </cell>
          <cell r="M9"/>
          <cell r="N9" t="str">
            <v>Recoupment Academy</v>
          </cell>
          <cell r="O9">
            <v>0</v>
          </cell>
          <cell r="P9" t="b">
            <v>1</v>
          </cell>
          <cell r="Q9">
            <v>0</v>
          </cell>
          <cell r="R9">
            <v>0</v>
          </cell>
          <cell r="S9">
            <v>0</v>
          </cell>
          <cell r="U9">
            <v>0</v>
          </cell>
          <cell r="V9">
            <v>170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 t="e">
            <v>#N/A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43374</v>
          </cell>
          <cell r="AI9" t="str">
            <v>Autumn</v>
          </cell>
          <cell r="AK9">
            <v>0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  <cell r="AQ9" t="e">
            <v>#REF!</v>
          </cell>
          <cell r="AR9" t="e">
            <v>#REF!</v>
          </cell>
          <cell r="AS9" t="e">
            <v>#REF!</v>
          </cell>
          <cell r="AT9" t="e">
            <v>#REF!</v>
          </cell>
          <cell r="AV9" t="e">
            <v>#REF!</v>
          </cell>
          <cell r="AW9" t="e">
            <v>#REF!</v>
          </cell>
          <cell r="AX9" t="e">
            <v>#REF!</v>
          </cell>
          <cell r="AY9" t="e">
            <v>#REF!</v>
          </cell>
          <cell r="AZ9" t="e">
            <v>#REF!</v>
          </cell>
          <cell r="BA9" t="e">
            <v>#REF!</v>
          </cell>
          <cell r="BB9" t="e">
            <v>#REF!</v>
          </cell>
          <cell r="BC9" t="e">
            <v>#REF!</v>
          </cell>
          <cell r="BD9">
            <v>0</v>
          </cell>
          <cell r="BG9">
            <v>162200</v>
          </cell>
          <cell r="BH9">
            <v>162200</v>
          </cell>
          <cell r="BI9">
            <v>0</v>
          </cell>
          <cell r="BJ9">
            <v>0</v>
          </cell>
          <cell r="BK9">
            <v>0</v>
          </cell>
          <cell r="BL9">
            <v>72001</v>
          </cell>
          <cell r="BM9" t="e">
            <v>#N/A</v>
          </cell>
          <cell r="BN9">
            <v>56865</v>
          </cell>
          <cell r="BP9">
            <v>205920</v>
          </cell>
        </row>
        <row r="10">
          <cell r="C10">
            <v>2048</v>
          </cell>
          <cell r="D10" t="str">
            <v>Acres Hill</v>
          </cell>
          <cell r="E10">
            <v>132</v>
          </cell>
          <cell r="F10">
            <v>0</v>
          </cell>
          <cell r="G10">
            <v>0</v>
          </cell>
          <cell r="H10">
            <v>1</v>
          </cell>
          <cell r="I10">
            <v>174240</v>
          </cell>
          <cell r="J10">
            <v>0</v>
          </cell>
          <cell r="K10">
            <v>2300</v>
          </cell>
          <cell r="L10">
            <v>176540</v>
          </cell>
          <cell r="M10"/>
          <cell r="N10" t="str">
            <v>Recoupment Academy</v>
          </cell>
          <cell r="O10">
            <v>0</v>
          </cell>
          <cell r="P10" t="b">
            <v>1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131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 t="e">
            <v>#N/A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43405</v>
          </cell>
          <cell r="AI10" t="str">
            <v>Autumn</v>
          </cell>
          <cell r="AK10">
            <v>0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  <cell r="AQ10" t="e">
            <v>#REF!</v>
          </cell>
          <cell r="AR10" t="e">
            <v>#REF!</v>
          </cell>
          <cell r="AS10" t="e">
            <v>#REF!</v>
          </cell>
          <cell r="AT10" t="e">
            <v>#REF!</v>
          </cell>
          <cell r="AV10" t="e">
            <v>#REF!</v>
          </cell>
          <cell r="AW10" t="e">
            <v>#REF!</v>
          </cell>
          <cell r="AX10" t="e">
            <v>#REF!</v>
          </cell>
          <cell r="AY10" t="e">
            <v>#REF!</v>
          </cell>
          <cell r="AZ10" t="e">
            <v>#REF!</v>
          </cell>
          <cell r="BA10" t="e">
            <v>#REF!</v>
          </cell>
          <cell r="BB10" t="e">
            <v>#REF!</v>
          </cell>
          <cell r="BC10" t="e">
            <v>#REF!</v>
          </cell>
          <cell r="BD10">
            <v>0</v>
          </cell>
          <cell r="BG10">
            <v>120120</v>
          </cell>
          <cell r="BH10">
            <v>120120</v>
          </cell>
          <cell r="BI10">
            <v>0</v>
          </cell>
          <cell r="BJ10">
            <v>0</v>
          </cell>
          <cell r="BK10">
            <v>0</v>
          </cell>
          <cell r="BL10">
            <v>72014</v>
          </cell>
          <cell r="BM10" t="e">
            <v>#N/A</v>
          </cell>
          <cell r="BN10">
            <v>57525</v>
          </cell>
          <cell r="BP10">
            <v>159720</v>
          </cell>
        </row>
        <row r="11">
          <cell r="C11">
            <v>2342</v>
          </cell>
          <cell r="D11" t="str">
            <v>Angram Bank Primary School</v>
          </cell>
          <cell r="E11">
            <v>80</v>
          </cell>
          <cell r="F11">
            <v>0</v>
          </cell>
          <cell r="G11">
            <v>0</v>
          </cell>
          <cell r="H11">
            <v>0</v>
          </cell>
          <cell r="I11">
            <v>105600</v>
          </cell>
          <cell r="J11">
            <v>0</v>
          </cell>
          <cell r="K11">
            <v>0</v>
          </cell>
          <cell r="L11">
            <v>105600</v>
          </cell>
          <cell r="M11"/>
          <cell r="N11">
            <v>0</v>
          </cell>
          <cell r="O11">
            <v>0</v>
          </cell>
          <cell r="P11" t="b">
            <v>0</v>
          </cell>
          <cell r="Q11">
            <v>0</v>
          </cell>
          <cell r="R11">
            <v>12</v>
          </cell>
          <cell r="S11">
            <v>1320</v>
          </cell>
          <cell r="U11">
            <v>105600</v>
          </cell>
          <cell r="V11">
            <v>80</v>
          </cell>
          <cell r="W11">
            <v>0</v>
          </cell>
          <cell r="X11">
            <v>0</v>
          </cell>
          <cell r="Y11">
            <v>0</v>
          </cell>
          <cell r="Z11">
            <v>105600</v>
          </cell>
          <cell r="AA11">
            <v>0</v>
          </cell>
          <cell r="AB11">
            <v>0</v>
          </cell>
          <cell r="AC11">
            <v>29040</v>
          </cell>
          <cell r="AD11">
            <v>25520</v>
          </cell>
          <cell r="AE11">
            <v>25520</v>
          </cell>
          <cell r="AF11">
            <v>25520</v>
          </cell>
          <cell r="AG11">
            <v>0</v>
          </cell>
          <cell r="AH11">
            <v>43435</v>
          </cell>
          <cell r="AI11" t="str">
            <v>Autumn</v>
          </cell>
          <cell r="AK11">
            <v>116160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  <cell r="AQ11" t="e">
            <v>#REF!</v>
          </cell>
          <cell r="AR11" t="e">
            <v>#REF!</v>
          </cell>
          <cell r="AS11" t="e">
            <v>#REF!</v>
          </cell>
          <cell r="AT11" t="e">
            <v>#REF!</v>
          </cell>
          <cell r="AV11" t="e">
            <v>#REF!</v>
          </cell>
          <cell r="AW11" t="e">
            <v>#REF!</v>
          </cell>
          <cell r="AX11" t="e">
            <v>#REF!</v>
          </cell>
          <cell r="AY11" t="e">
            <v>#REF!</v>
          </cell>
          <cell r="AZ11" t="e">
            <v>#REF!</v>
          </cell>
          <cell r="BA11" t="e">
            <v>#REF!</v>
          </cell>
          <cell r="BB11" t="e">
            <v>#REF!</v>
          </cell>
          <cell r="BC11" t="e">
            <v>#REF!</v>
          </cell>
          <cell r="BD11">
            <v>0</v>
          </cell>
          <cell r="BG11">
            <v>174180</v>
          </cell>
          <cell r="BH11">
            <v>68580</v>
          </cell>
          <cell r="BI11">
            <v>0</v>
          </cell>
          <cell r="BJ11">
            <v>-80080</v>
          </cell>
          <cell r="BK11">
            <v>0</v>
          </cell>
          <cell r="BL11">
            <v>72023</v>
          </cell>
          <cell r="BM11" t="e">
            <v>#N/A</v>
          </cell>
          <cell r="BN11">
            <v>43995</v>
          </cell>
          <cell r="BP11">
            <v>116160</v>
          </cell>
        </row>
        <row r="12">
          <cell r="C12">
            <v>2343</v>
          </cell>
          <cell r="D12" t="str">
            <v>Anns Grove Primary School</v>
          </cell>
          <cell r="E12">
            <v>125</v>
          </cell>
          <cell r="F12">
            <v>0</v>
          </cell>
          <cell r="G12">
            <v>0</v>
          </cell>
          <cell r="H12">
            <v>6</v>
          </cell>
          <cell r="I12">
            <v>165000</v>
          </cell>
          <cell r="J12">
            <v>0</v>
          </cell>
          <cell r="K12">
            <v>13800</v>
          </cell>
          <cell r="L12">
            <v>178800</v>
          </cell>
          <cell r="M12"/>
          <cell r="N12">
            <v>0</v>
          </cell>
          <cell r="O12">
            <v>0</v>
          </cell>
          <cell r="P12" t="b">
            <v>0</v>
          </cell>
          <cell r="Q12">
            <v>0</v>
          </cell>
          <cell r="R12">
            <v>12</v>
          </cell>
          <cell r="S12">
            <v>1320</v>
          </cell>
          <cell r="U12">
            <v>178800</v>
          </cell>
          <cell r="V12">
            <v>121</v>
          </cell>
          <cell r="W12">
            <v>0</v>
          </cell>
          <cell r="X12">
            <v>0</v>
          </cell>
          <cell r="Y12">
            <v>6</v>
          </cell>
          <cell r="Z12">
            <v>173520</v>
          </cell>
          <cell r="AA12">
            <v>-5280</v>
          </cell>
          <cell r="AB12">
            <v>-5280</v>
          </cell>
          <cell r="AC12">
            <v>41910</v>
          </cell>
          <cell r="AD12">
            <v>45630</v>
          </cell>
          <cell r="AE12">
            <v>42990</v>
          </cell>
          <cell r="AF12">
            <v>42990</v>
          </cell>
          <cell r="AG12">
            <v>0</v>
          </cell>
          <cell r="AH12">
            <v>0</v>
          </cell>
          <cell r="AI12">
            <v>0</v>
          </cell>
          <cell r="AK12">
            <v>167640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  <cell r="AQ12" t="e">
            <v>#REF!</v>
          </cell>
          <cell r="AR12" t="e">
            <v>#REF!</v>
          </cell>
          <cell r="AS12" t="e">
            <v>#REF!</v>
          </cell>
          <cell r="AT12" t="e">
            <v>#REF!</v>
          </cell>
          <cell r="AV12" t="e">
            <v>#REF!</v>
          </cell>
          <cell r="AW12" t="e">
            <v>#REF!</v>
          </cell>
          <cell r="AX12" t="e">
            <v>#REF!</v>
          </cell>
          <cell r="AY12" t="e">
            <v>#REF!</v>
          </cell>
          <cell r="AZ12" t="e">
            <v>#REF!</v>
          </cell>
          <cell r="BA12" t="e">
            <v>#REF!</v>
          </cell>
          <cell r="BB12" t="e">
            <v>#REF!</v>
          </cell>
          <cell r="BC12" t="e">
            <v>#REF!</v>
          </cell>
          <cell r="BD12">
            <v>-5280</v>
          </cell>
          <cell r="BG12">
            <v>361680</v>
          </cell>
          <cell r="BH12">
            <v>182880</v>
          </cell>
          <cell r="BI12">
            <v>0</v>
          </cell>
          <cell r="BJ12">
            <v>-130530</v>
          </cell>
          <cell r="BK12">
            <v>0</v>
          </cell>
          <cell r="BL12">
            <v>72036</v>
          </cell>
          <cell r="BM12" t="e">
            <v>#N/A</v>
          </cell>
          <cell r="BN12">
            <v>72270</v>
          </cell>
          <cell r="BP12">
            <v>167640</v>
          </cell>
        </row>
        <row r="13">
          <cell r="C13">
            <v>3429</v>
          </cell>
          <cell r="D13" t="str">
            <v>Arbourthorne Community Primary</v>
          </cell>
          <cell r="E13">
            <v>247</v>
          </cell>
          <cell r="F13">
            <v>0</v>
          </cell>
          <cell r="G13">
            <v>1</v>
          </cell>
          <cell r="H13">
            <v>0</v>
          </cell>
          <cell r="I13">
            <v>326040</v>
          </cell>
          <cell r="J13">
            <v>300</v>
          </cell>
          <cell r="K13">
            <v>0</v>
          </cell>
          <cell r="L13">
            <v>326340</v>
          </cell>
          <cell r="M13"/>
          <cell r="N13">
            <v>0</v>
          </cell>
          <cell r="O13">
            <v>0</v>
          </cell>
          <cell r="P13" t="b">
            <v>0</v>
          </cell>
          <cell r="Q13">
            <v>0</v>
          </cell>
          <cell r="R13">
            <v>12</v>
          </cell>
          <cell r="S13">
            <v>1320</v>
          </cell>
          <cell r="U13">
            <v>326340</v>
          </cell>
          <cell r="V13">
            <v>246</v>
          </cell>
          <cell r="W13">
            <v>0</v>
          </cell>
          <cell r="X13">
            <v>1</v>
          </cell>
          <cell r="Y13">
            <v>0</v>
          </cell>
          <cell r="Z13">
            <v>325020</v>
          </cell>
          <cell r="AA13">
            <v>-1320</v>
          </cell>
          <cell r="AB13">
            <v>-1320</v>
          </cell>
          <cell r="AC13">
            <v>85800</v>
          </cell>
          <cell r="AD13">
            <v>80180</v>
          </cell>
          <cell r="AE13">
            <v>79520</v>
          </cell>
          <cell r="AF13">
            <v>79520</v>
          </cell>
          <cell r="AG13">
            <v>0</v>
          </cell>
          <cell r="AH13">
            <v>43466</v>
          </cell>
          <cell r="AI13" t="str">
            <v>Autumn</v>
          </cell>
          <cell r="AK13">
            <v>343200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  <cell r="AQ13" t="e">
            <v>#REF!</v>
          </cell>
          <cell r="AR13" t="e">
            <v>#REF!</v>
          </cell>
          <cell r="AS13" t="e">
            <v>#REF!</v>
          </cell>
          <cell r="AT13" t="e">
            <v>#REF!</v>
          </cell>
          <cell r="AV13" t="e">
            <v>#REF!</v>
          </cell>
          <cell r="AW13" t="e">
            <v>#REF!</v>
          </cell>
          <cell r="AX13" t="e">
            <v>#REF!</v>
          </cell>
          <cell r="AY13" t="e">
            <v>#REF!</v>
          </cell>
          <cell r="AZ13" t="e">
            <v>#REF!</v>
          </cell>
          <cell r="BA13" t="e">
            <v>#REF!</v>
          </cell>
          <cell r="BB13" t="e">
            <v>#REF!</v>
          </cell>
          <cell r="BC13" t="e">
            <v>#REF!</v>
          </cell>
          <cell r="BD13">
            <v>-1320</v>
          </cell>
          <cell r="BG13">
            <v>224840</v>
          </cell>
          <cell r="BH13">
            <v>-101500</v>
          </cell>
          <cell r="BI13">
            <v>0</v>
          </cell>
          <cell r="BJ13">
            <v>-245500</v>
          </cell>
          <cell r="BK13">
            <v>0</v>
          </cell>
          <cell r="BL13">
            <v>72040</v>
          </cell>
          <cell r="BM13" t="e">
            <v>#N/A</v>
          </cell>
          <cell r="BN13">
            <v>193050</v>
          </cell>
          <cell r="BP13">
            <v>343200</v>
          </cell>
        </row>
        <row r="14">
          <cell r="C14">
            <v>2340</v>
          </cell>
          <cell r="D14" t="str">
            <v>Athelstan Primary School</v>
          </cell>
          <cell r="E14">
            <v>180</v>
          </cell>
          <cell r="F14">
            <v>0</v>
          </cell>
          <cell r="G14">
            <v>4</v>
          </cell>
          <cell r="H14">
            <v>2</v>
          </cell>
          <cell r="I14">
            <v>237600</v>
          </cell>
          <cell r="J14">
            <v>1200</v>
          </cell>
          <cell r="K14">
            <v>4600</v>
          </cell>
          <cell r="L14">
            <v>243400</v>
          </cell>
          <cell r="M14"/>
          <cell r="N14">
            <v>0</v>
          </cell>
          <cell r="O14">
            <v>0</v>
          </cell>
          <cell r="P14" t="b">
            <v>0</v>
          </cell>
          <cell r="Q14">
            <v>0</v>
          </cell>
          <cell r="R14">
            <v>12</v>
          </cell>
          <cell r="S14">
            <v>1320</v>
          </cell>
          <cell r="U14">
            <v>243400</v>
          </cell>
          <cell r="V14">
            <v>178</v>
          </cell>
          <cell r="W14">
            <v>0</v>
          </cell>
          <cell r="X14">
            <v>4</v>
          </cell>
          <cell r="Y14">
            <v>2</v>
          </cell>
          <cell r="Z14">
            <v>240760</v>
          </cell>
          <cell r="AA14">
            <v>-2640</v>
          </cell>
          <cell r="AB14">
            <v>-2640</v>
          </cell>
          <cell r="AC14">
            <v>53790</v>
          </cell>
          <cell r="AD14">
            <v>63203.333333333336</v>
          </cell>
          <cell r="AE14">
            <v>61883.333333333328</v>
          </cell>
          <cell r="AF14">
            <v>61883.333333333328</v>
          </cell>
          <cell r="AG14">
            <v>0</v>
          </cell>
          <cell r="AH14">
            <v>43497</v>
          </cell>
          <cell r="AI14" t="str">
            <v>Spring</v>
          </cell>
          <cell r="AK14">
            <v>215160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  <cell r="AQ14" t="e">
            <v>#REF!</v>
          </cell>
          <cell r="AR14" t="e">
            <v>#REF!</v>
          </cell>
          <cell r="AS14" t="e">
            <v>#REF!</v>
          </cell>
          <cell r="AT14" t="e">
            <v>#REF!</v>
          </cell>
          <cell r="AV14" t="e">
            <v>#REF!</v>
          </cell>
          <cell r="AW14" t="e">
            <v>#REF!</v>
          </cell>
          <cell r="AX14" t="e">
            <v>#REF!</v>
          </cell>
          <cell r="AY14" t="e">
            <v>#REF!</v>
          </cell>
          <cell r="AZ14" t="e">
            <v>#REF!</v>
          </cell>
          <cell r="BA14" t="e">
            <v>#REF!</v>
          </cell>
          <cell r="BB14" t="e">
            <v>#REF!</v>
          </cell>
          <cell r="BC14" t="e">
            <v>#REF!</v>
          </cell>
          <cell r="BD14">
            <v>-2640</v>
          </cell>
          <cell r="BG14">
            <v>69960</v>
          </cell>
          <cell r="BH14">
            <v>-173440</v>
          </cell>
          <cell r="BI14">
            <v>0</v>
          </cell>
          <cell r="BJ14">
            <v>-178876.66666666669</v>
          </cell>
          <cell r="BK14">
            <v>0</v>
          </cell>
          <cell r="BL14">
            <v>72058</v>
          </cell>
          <cell r="BM14" t="e">
            <v>#N/A</v>
          </cell>
          <cell r="BN14">
            <v>65655</v>
          </cell>
          <cell r="BP14">
            <v>215160</v>
          </cell>
        </row>
        <row r="15">
          <cell r="C15">
            <v>2281</v>
          </cell>
          <cell r="D15" t="str">
            <v>Ballifield Primary</v>
          </cell>
          <cell r="E15">
            <v>54</v>
          </cell>
          <cell r="F15">
            <v>0</v>
          </cell>
          <cell r="G15">
            <v>0</v>
          </cell>
          <cell r="H15">
            <v>0</v>
          </cell>
          <cell r="I15">
            <v>71280</v>
          </cell>
          <cell r="J15">
            <v>0</v>
          </cell>
          <cell r="K15">
            <v>0</v>
          </cell>
          <cell r="L15">
            <v>71280</v>
          </cell>
          <cell r="M15"/>
          <cell r="N15">
            <v>0</v>
          </cell>
          <cell r="O15">
            <v>0</v>
          </cell>
          <cell r="P15" t="b">
            <v>0</v>
          </cell>
          <cell r="Q15">
            <v>0</v>
          </cell>
          <cell r="R15">
            <v>12</v>
          </cell>
          <cell r="S15">
            <v>1320</v>
          </cell>
          <cell r="U15">
            <v>71280</v>
          </cell>
          <cell r="V15">
            <v>53</v>
          </cell>
          <cell r="W15">
            <v>0</v>
          </cell>
          <cell r="X15">
            <v>0</v>
          </cell>
          <cell r="Y15">
            <v>0</v>
          </cell>
          <cell r="Z15">
            <v>69960</v>
          </cell>
          <cell r="AA15">
            <v>-1320</v>
          </cell>
          <cell r="AB15">
            <v>-1320</v>
          </cell>
          <cell r="AC15">
            <v>17490</v>
          </cell>
          <cell r="AD15">
            <v>17930</v>
          </cell>
          <cell r="AE15">
            <v>17270</v>
          </cell>
          <cell r="AF15">
            <v>17270</v>
          </cell>
          <cell r="AG15">
            <v>0</v>
          </cell>
          <cell r="AH15">
            <v>43525</v>
          </cell>
          <cell r="AI15" t="str">
            <v>Spring</v>
          </cell>
          <cell r="AK15">
            <v>69960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  <cell r="AQ15" t="e">
            <v>#REF!</v>
          </cell>
          <cell r="AR15" t="e">
            <v>#REF!</v>
          </cell>
          <cell r="AS15" t="e">
            <v>#REF!</v>
          </cell>
          <cell r="AT15" t="e">
            <v>#REF!</v>
          </cell>
          <cell r="AV15" t="e">
            <v>#REF!</v>
          </cell>
          <cell r="AW15" t="e">
            <v>#REF!</v>
          </cell>
          <cell r="AX15" t="e">
            <v>#REF!</v>
          </cell>
          <cell r="AY15" t="e">
            <v>#REF!</v>
          </cell>
          <cell r="AZ15" t="e">
            <v>#REF!</v>
          </cell>
          <cell r="BA15" t="e">
            <v>#REF!</v>
          </cell>
          <cell r="BB15" t="e">
            <v>#REF!</v>
          </cell>
          <cell r="BC15" t="e">
            <v>#REF!</v>
          </cell>
          <cell r="BD15">
            <v>-1320</v>
          </cell>
          <cell r="BG15">
            <v>290400</v>
          </cell>
          <cell r="BH15">
            <v>219120</v>
          </cell>
          <cell r="BI15">
            <v>0</v>
          </cell>
          <cell r="BJ15">
            <v>-52690</v>
          </cell>
          <cell r="BK15">
            <v>0</v>
          </cell>
          <cell r="BL15">
            <v>72060</v>
          </cell>
          <cell r="BM15" t="e">
            <v>#N/A</v>
          </cell>
          <cell r="BN15">
            <v>26610</v>
          </cell>
          <cell r="BP15">
            <v>69960</v>
          </cell>
        </row>
        <row r="16">
          <cell r="C16">
            <v>2322</v>
          </cell>
          <cell r="D16" t="str">
            <v>Bankwood Primary School</v>
          </cell>
          <cell r="E16">
            <v>243</v>
          </cell>
          <cell r="F16">
            <v>0</v>
          </cell>
          <cell r="G16">
            <v>0</v>
          </cell>
          <cell r="H16">
            <v>0</v>
          </cell>
          <cell r="I16">
            <v>320760</v>
          </cell>
          <cell r="J16">
            <v>0</v>
          </cell>
          <cell r="K16">
            <v>0</v>
          </cell>
          <cell r="L16">
            <v>320760</v>
          </cell>
          <cell r="M16"/>
          <cell r="N16">
            <v>0</v>
          </cell>
          <cell r="O16">
            <v>0</v>
          </cell>
          <cell r="P16" t="b">
            <v>0</v>
          </cell>
          <cell r="Q16">
            <v>0</v>
          </cell>
          <cell r="R16">
            <v>12</v>
          </cell>
          <cell r="S16">
            <v>1320</v>
          </cell>
          <cell r="U16">
            <v>320760</v>
          </cell>
          <cell r="V16">
            <v>241</v>
          </cell>
          <cell r="W16">
            <v>0</v>
          </cell>
          <cell r="X16">
            <v>0</v>
          </cell>
          <cell r="Y16">
            <v>0</v>
          </cell>
          <cell r="Z16">
            <v>318120</v>
          </cell>
          <cell r="AA16">
            <v>-2640</v>
          </cell>
          <cell r="AB16">
            <v>-2640</v>
          </cell>
          <cell r="AC16">
            <v>76230</v>
          </cell>
          <cell r="AD16">
            <v>81510</v>
          </cell>
          <cell r="AE16">
            <v>80190</v>
          </cell>
          <cell r="AF16">
            <v>80190</v>
          </cell>
          <cell r="AG16">
            <v>0</v>
          </cell>
          <cell r="AK16">
            <v>304920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  <cell r="AQ16" t="e">
            <v>#REF!</v>
          </cell>
          <cell r="AR16" t="e">
            <v>#REF!</v>
          </cell>
          <cell r="AS16" t="e">
            <v>#REF!</v>
          </cell>
          <cell r="AT16" t="e">
            <v>#REF!</v>
          </cell>
          <cell r="AV16" t="e">
            <v>#REF!</v>
          </cell>
          <cell r="AW16" t="e">
            <v>#REF!</v>
          </cell>
          <cell r="AX16" t="e">
            <v>#REF!</v>
          </cell>
          <cell r="AY16" t="e">
            <v>#REF!</v>
          </cell>
          <cell r="AZ16" t="e">
            <v>#REF!</v>
          </cell>
          <cell r="BA16" t="e">
            <v>#REF!</v>
          </cell>
          <cell r="BB16" t="e">
            <v>#REF!</v>
          </cell>
          <cell r="BC16" t="e">
            <v>#REF!</v>
          </cell>
          <cell r="BD16">
            <v>-2640</v>
          </cell>
          <cell r="BG16">
            <v>0</v>
          </cell>
          <cell r="BH16">
            <v>-320760</v>
          </cell>
          <cell r="BI16">
            <v>0</v>
          </cell>
          <cell r="BJ16">
            <v>-237930</v>
          </cell>
          <cell r="BK16">
            <v>0</v>
          </cell>
          <cell r="BL16">
            <v>72063</v>
          </cell>
          <cell r="BM16" t="e">
            <v>#N/A</v>
          </cell>
          <cell r="BN16">
            <v>91980</v>
          </cell>
          <cell r="BP16">
            <v>304920</v>
          </cell>
        </row>
        <row r="17">
          <cell r="C17">
            <v>2274</v>
          </cell>
          <cell r="D17" t="str">
            <v>Beck Primary School</v>
          </cell>
          <cell r="E17">
            <v>347</v>
          </cell>
          <cell r="F17">
            <v>0</v>
          </cell>
          <cell r="G17">
            <v>2</v>
          </cell>
          <cell r="H17">
            <v>0</v>
          </cell>
          <cell r="I17">
            <v>458040</v>
          </cell>
          <cell r="J17">
            <v>600</v>
          </cell>
          <cell r="K17">
            <v>0</v>
          </cell>
          <cell r="L17">
            <v>458640</v>
          </cell>
          <cell r="M17"/>
          <cell r="N17" t="str">
            <v>Recoupment Academy</v>
          </cell>
          <cell r="O17">
            <v>0</v>
          </cell>
          <cell r="P17" t="b">
            <v>1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345</v>
          </cell>
          <cell r="W17">
            <v>0</v>
          </cell>
          <cell r="X17">
            <v>2</v>
          </cell>
          <cell r="Y17">
            <v>0</v>
          </cell>
          <cell r="Z17">
            <v>0</v>
          </cell>
          <cell r="AA17">
            <v>0</v>
          </cell>
          <cell r="AB17" t="e">
            <v>#N/A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K17">
            <v>0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  <cell r="AQ17" t="e">
            <v>#REF!</v>
          </cell>
          <cell r="AR17" t="e">
            <v>#REF!</v>
          </cell>
          <cell r="AS17" t="e">
            <v>#REF!</v>
          </cell>
          <cell r="AT17" t="e">
            <v>#REF!</v>
          </cell>
          <cell r="AV17" t="e">
            <v>#REF!</v>
          </cell>
          <cell r="AW17" t="e">
            <v>#REF!</v>
          </cell>
          <cell r="AX17" t="e">
            <v>#REF!</v>
          </cell>
          <cell r="AY17" t="e">
            <v>#REF!</v>
          </cell>
          <cell r="AZ17" t="e">
            <v>#REF!</v>
          </cell>
          <cell r="BA17" t="e">
            <v>#REF!</v>
          </cell>
          <cell r="BB17" t="e">
            <v>#REF!</v>
          </cell>
          <cell r="BC17" t="e">
            <v>#REF!</v>
          </cell>
          <cell r="BD17">
            <v>0</v>
          </cell>
          <cell r="BG17">
            <v>39440</v>
          </cell>
          <cell r="BH17">
            <v>39440</v>
          </cell>
          <cell r="BI17">
            <v>0</v>
          </cell>
          <cell r="BJ17">
            <v>0</v>
          </cell>
          <cell r="BK17">
            <v>0</v>
          </cell>
          <cell r="BL17">
            <v>72070</v>
          </cell>
          <cell r="BM17" t="e">
            <v>#N/A</v>
          </cell>
          <cell r="BN17">
            <v>157410</v>
          </cell>
          <cell r="BP17">
            <v>452760</v>
          </cell>
        </row>
        <row r="18">
          <cell r="C18">
            <v>2241</v>
          </cell>
          <cell r="D18" t="str">
            <v>Beighton Nursery and Infants</v>
          </cell>
          <cell r="E18">
            <v>26</v>
          </cell>
          <cell r="F18">
            <v>0</v>
          </cell>
          <cell r="G18">
            <v>0</v>
          </cell>
          <cell r="H18">
            <v>2</v>
          </cell>
          <cell r="I18">
            <v>34320</v>
          </cell>
          <cell r="J18">
            <v>0</v>
          </cell>
          <cell r="K18">
            <v>4600</v>
          </cell>
          <cell r="L18">
            <v>38920</v>
          </cell>
          <cell r="M18"/>
          <cell r="N18">
            <v>0</v>
          </cell>
          <cell r="O18">
            <v>0</v>
          </cell>
          <cell r="P18" t="b">
            <v>0</v>
          </cell>
          <cell r="Q18">
            <v>0</v>
          </cell>
          <cell r="R18">
            <v>12</v>
          </cell>
          <cell r="S18">
            <v>1320</v>
          </cell>
          <cell r="U18">
            <v>38920</v>
          </cell>
          <cell r="V18">
            <v>26</v>
          </cell>
          <cell r="W18">
            <v>0</v>
          </cell>
          <cell r="X18">
            <v>0</v>
          </cell>
          <cell r="Y18">
            <v>2</v>
          </cell>
          <cell r="Z18">
            <v>38920</v>
          </cell>
          <cell r="AA18">
            <v>0</v>
          </cell>
          <cell r="AB18">
            <v>0</v>
          </cell>
          <cell r="AC18">
            <v>8580</v>
          </cell>
          <cell r="AD18">
            <v>10113.333333333334</v>
          </cell>
          <cell r="AE18">
            <v>10113.333333333332</v>
          </cell>
          <cell r="AF18">
            <v>10113.333333333332</v>
          </cell>
          <cell r="AG18">
            <v>0</v>
          </cell>
          <cell r="AK18">
            <v>34320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  <cell r="AQ18" t="e">
            <v>#REF!</v>
          </cell>
          <cell r="AR18" t="e">
            <v>#REF!</v>
          </cell>
          <cell r="AS18" t="e">
            <v>#REF!</v>
          </cell>
          <cell r="AT18" t="e">
            <v>#REF!</v>
          </cell>
          <cell r="AV18" t="e">
            <v>#REF!</v>
          </cell>
          <cell r="AW18" t="e">
            <v>#REF!</v>
          </cell>
          <cell r="AX18" t="e">
            <v>#REF!</v>
          </cell>
          <cell r="AY18" t="e">
            <v>#REF!</v>
          </cell>
          <cell r="AZ18" t="e">
            <v>#REF!</v>
          </cell>
          <cell r="BA18" t="e">
            <v>#REF!</v>
          </cell>
          <cell r="BB18" t="e">
            <v>#REF!</v>
          </cell>
          <cell r="BC18" t="e">
            <v>#REF!</v>
          </cell>
          <cell r="BD18">
            <v>0</v>
          </cell>
          <cell r="BG18">
            <v>164840</v>
          </cell>
          <cell r="BH18">
            <v>125920</v>
          </cell>
          <cell r="BI18">
            <v>164840</v>
          </cell>
          <cell r="BJ18">
            <v>125920.00000000001</v>
          </cell>
          <cell r="BK18">
            <v>0</v>
          </cell>
          <cell r="BL18">
            <v>72071</v>
          </cell>
          <cell r="BM18" t="e">
            <v>#N/A</v>
          </cell>
          <cell r="BN18">
            <v>41460</v>
          </cell>
          <cell r="BP18">
            <v>34320</v>
          </cell>
        </row>
        <row r="19">
          <cell r="C19">
            <v>2353</v>
          </cell>
          <cell r="D19" t="str">
            <v>Birley Primary School</v>
          </cell>
          <cell r="E19">
            <v>122</v>
          </cell>
          <cell r="F19">
            <v>0</v>
          </cell>
          <cell r="G19">
            <v>2</v>
          </cell>
          <cell r="H19">
            <v>3</v>
          </cell>
          <cell r="I19">
            <v>161040</v>
          </cell>
          <cell r="J19">
            <v>600</v>
          </cell>
          <cell r="K19">
            <v>6900</v>
          </cell>
          <cell r="L19">
            <v>168540</v>
          </cell>
          <cell r="M19"/>
          <cell r="N19" t="str">
            <v>Recoupment Academy</v>
          </cell>
          <cell r="O19">
            <v>0</v>
          </cell>
          <cell r="P19" t="b">
            <v>1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122</v>
          </cell>
          <cell r="W19">
            <v>0</v>
          </cell>
          <cell r="X19">
            <v>2</v>
          </cell>
          <cell r="Y19">
            <v>3</v>
          </cell>
          <cell r="Z19">
            <v>0</v>
          </cell>
          <cell r="AA19">
            <v>0</v>
          </cell>
          <cell r="AB19" t="e">
            <v>#N/A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K19">
            <v>0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  <cell r="AQ19" t="e">
            <v>#REF!</v>
          </cell>
          <cell r="AR19" t="e">
            <v>#REF!</v>
          </cell>
          <cell r="AS19" t="e">
            <v>#REF!</v>
          </cell>
          <cell r="AT19" t="e">
            <v>#REF!</v>
          </cell>
          <cell r="AV19" t="e">
            <v>#REF!</v>
          </cell>
          <cell r="AW19" t="e">
            <v>#REF!</v>
          </cell>
          <cell r="AX19" t="e">
            <v>#REF!</v>
          </cell>
          <cell r="AY19" t="e">
            <v>#REF!</v>
          </cell>
          <cell r="AZ19" t="e">
            <v>#REF!</v>
          </cell>
          <cell r="BA19" t="e">
            <v>#REF!</v>
          </cell>
          <cell r="BB19" t="e">
            <v>#REF!</v>
          </cell>
          <cell r="BC19" t="e">
            <v>#REF!</v>
          </cell>
          <cell r="BD19">
            <v>0</v>
          </cell>
          <cell r="BG19">
            <v>141080</v>
          </cell>
          <cell r="BH19">
            <v>141080</v>
          </cell>
          <cell r="BI19">
            <v>0</v>
          </cell>
          <cell r="BJ19">
            <v>0</v>
          </cell>
          <cell r="BK19">
            <v>0</v>
          </cell>
          <cell r="BL19">
            <v>72072</v>
          </cell>
          <cell r="BM19" t="e">
            <v>#N/A</v>
          </cell>
          <cell r="BN19">
            <v>13860</v>
          </cell>
          <cell r="BP19">
            <v>162360</v>
          </cell>
        </row>
        <row r="20">
          <cell r="C20">
            <v>2323</v>
          </cell>
          <cell r="D20" t="str">
            <v>Birley Spa Community Primary</v>
          </cell>
          <cell r="E20">
            <v>120</v>
          </cell>
          <cell r="F20">
            <v>0</v>
          </cell>
          <cell r="G20">
            <v>0</v>
          </cell>
          <cell r="H20">
            <v>2</v>
          </cell>
          <cell r="I20">
            <v>158400</v>
          </cell>
          <cell r="J20">
            <v>0</v>
          </cell>
          <cell r="K20">
            <v>4600</v>
          </cell>
          <cell r="L20">
            <v>163000</v>
          </cell>
          <cell r="M20"/>
          <cell r="N20" t="str">
            <v>Recoupment Academy</v>
          </cell>
          <cell r="O20">
            <v>0</v>
          </cell>
          <cell r="P20" t="b">
            <v>1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120</v>
          </cell>
          <cell r="W20">
            <v>0</v>
          </cell>
          <cell r="X20">
            <v>0</v>
          </cell>
          <cell r="Y20">
            <v>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K20">
            <v>0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  <cell r="AQ20" t="e">
            <v>#REF!</v>
          </cell>
          <cell r="AR20" t="e">
            <v>#REF!</v>
          </cell>
          <cell r="AS20" t="e">
            <v>#REF!</v>
          </cell>
          <cell r="AT20" t="e">
            <v>#REF!</v>
          </cell>
          <cell r="AV20" t="e">
            <v>#REF!</v>
          </cell>
          <cell r="AW20" t="e">
            <v>#REF!</v>
          </cell>
          <cell r="AX20" t="e">
            <v>#REF!</v>
          </cell>
          <cell r="AY20" t="e">
            <v>#REF!</v>
          </cell>
          <cell r="AZ20" t="e">
            <v>#REF!</v>
          </cell>
          <cell r="BA20" t="e">
            <v>#REF!</v>
          </cell>
          <cell r="BB20" t="e">
            <v>#REF!</v>
          </cell>
          <cell r="BC20" t="e">
            <v>#REF!</v>
          </cell>
          <cell r="BD20">
            <v>0</v>
          </cell>
          <cell r="BG20">
            <v>17000</v>
          </cell>
          <cell r="BH20">
            <v>17000</v>
          </cell>
          <cell r="BI20">
            <v>0</v>
          </cell>
          <cell r="BJ20">
            <v>0</v>
          </cell>
          <cell r="BK20">
            <v>0</v>
          </cell>
          <cell r="BL20">
            <v>72079</v>
          </cell>
          <cell r="BM20" t="e">
            <v>#N/A</v>
          </cell>
          <cell r="BN20">
            <v>86115</v>
          </cell>
          <cell r="BP20">
            <v>150480</v>
          </cell>
        </row>
        <row r="21">
          <cell r="C21">
            <v>2328</v>
          </cell>
          <cell r="D21" t="str">
            <v>Bradfield Dungworth</v>
          </cell>
          <cell r="E21">
            <v>11</v>
          </cell>
          <cell r="F21">
            <v>0</v>
          </cell>
          <cell r="G21">
            <v>0</v>
          </cell>
          <cell r="H21">
            <v>2</v>
          </cell>
          <cell r="I21">
            <v>14520</v>
          </cell>
          <cell r="J21">
            <v>0</v>
          </cell>
          <cell r="K21">
            <v>4600</v>
          </cell>
          <cell r="L21">
            <v>19120</v>
          </cell>
          <cell r="M21"/>
          <cell r="N21">
            <v>0</v>
          </cell>
          <cell r="O21">
            <v>0</v>
          </cell>
          <cell r="P21" t="b">
            <v>0</v>
          </cell>
          <cell r="Q21">
            <v>0</v>
          </cell>
          <cell r="R21">
            <v>12</v>
          </cell>
          <cell r="S21">
            <v>1320</v>
          </cell>
          <cell r="U21">
            <v>19120</v>
          </cell>
          <cell r="V21">
            <v>11</v>
          </cell>
          <cell r="W21">
            <v>0</v>
          </cell>
          <cell r="X21">
            <v>0</v>
          </cell>
          <cell r="Y21">
            <v>2</v>
          </cell>
          <cell r="Z21">
            <v>19120</v>
          </cell>
          <cell r="AA21">
            <v>0</v>
          </cell>
          <cell r="AB21">
            <v>0</v>
          </cell>
          <cell r="AC21">
            <v>4620</v>
          </cell>
          <cell r="AD21">
            <v>4833.333333333333</v>
          </cell>
          <cell r="AE21">
            <v>4887</v>
          </cell>
          <cell r="AF21">
            <v>4780</v>
          </cell>
          <cell r="AG21">
            <v>0.33333333333212067</v>
          </cell>
          <cell r="AK21">
            <v>18480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  <cell r="AQ21" t="e">
            <v>#REF!</v>
          </cell>
          <cell r="AR21" t="e">
            <v>#REF!</v>
          </cell>
          <cell r="AS21" t="e">
            <v>#REF!</v>
          </cell>
          <cell r="AT21" t="e">
            <v>#REF!</v>
          </cell>
          <cell r="AV21" t="e">
            <v>#REF!</v>
          </cell>
          <cell r="AW21" t="e">
            <v>#REF!</v>
          </cell>
          <cell r="AX21" t="e">
            <v>#REF!</v>
          </cell>
          <cell r="AY21" t="e">
            <v>#REF!</v>
          </cell>
          <cell r="AZ21" t="e">
            <v>#REF!</v>
          </cell>
          <cell r="BA21" t="e">
            <v>#REF!</v>
          </cell>
          <cell r="BB21" t="e">
            <v>#REF!</v>
          </cell>
          <cell r="BC21" t="e">
            <v>#REF!</v>
          </cell>
          <cell r="BD21">
            <v>0</v>
          </cell>
          <cell r="BG21">
            <v>62620</v>
          </cell>
          <cell r="BH21">
            <v>43500</v>
          </cell>
          <cell r="BI21">
            <v>0</v>
          </cell>
          <cell r="BJ21">
            <v>-14340.333333333332</v>
          </cell>
          <cell r="BK21">
            <v>0</v>
          </cell>
          <cell r="BL21">
            <v>72080</v>
          </cell>
          <cell r="BM21" t="e">
            <v>#N/A</v>
          </cell>
          <cell r="BN21">
            <v>110295</v>
          </cell>
          <cell r="BP21">
            <v>18480</v>
          </cell>
        </row>
        <row r="22">
          <cell r="C22">
            <v>2233</v>
          </cell>
          <cell r="D22" t="str">
            <v>Bradway Primary</v>
          </cell>
          <cell r="E22">
            <v>52</v>
          </cell>
          <cell r="F22">
            <v>0</v>
          </cell>
          <cell r="G22">
            <v>2</v>
          </cell>
          <cell r="H22">
            <v>4</v>
          </cell>
          <cell r="I22">
            <v>68640</v>
          </cell>
          <cell r="J22">
            <v>600</v>
          </cell>
          <cell r="K22">
            <v>9200</v>
          </cell>
          <cell r="L22">
            <v>78440</v>
          </cell>
          <cell r="M22"/>
          <cell r="N22">
            <v>0</v>
          </cell>
          <cell r="O22">
            <v>0</v>
          </cell>
          <cell r="P22" t="b">
            <v>0</v>
          </cell>
          <cell r="Q22">
            <v>0</v>
          </cell>
          <cell r="R22">
            <v>12</v>
          </cell>
          <cell r="S22">
            <v>1320</v>
          </cell>
          <cell r="U22">
            <v>78440</v>
          </cell>
          <cell r="V22">
            <v>52</v>
          </cell>
          <cell r="W22">
            <v>0</v>
          </cell>
          <cell r="X22">
            <v>2</v>
          </cell>
          <cell r="Y22">
            <v>4</v>
          </cell>
          <cell r="Z22">
            <v>78440</v>
          </cell>
          <cell r="AA22">
            <v>0</v>
          </cell>
          <cell r="AB22">
            <v>0</v>
          </cell>
          <cell r="AC22">
            <v>16170</v>
          </cell>
          <cell r="AD22">
            <v>20756.666666666668</v>
          </cell>
          <cell r="AE22">
            <v>20756.666666666664</v>
          </cell>
          <cell r="AF22">
            <v>20756.666666666664</v>
          </cell>
          <cell r="AG22">
            <v>0</v>
          </cell>
          <cell r="AK22">
            <v>64680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  <cell r="AQ22" t="e">
            <v>#REF!</v>
          </cell>
          <cell r="AR22" t="e">
            <v>#REF!</v>
          </cell>
          <cell r="AS22" t="e">
            <v>#REF!</v>
          </cell>
          <cell r="AT22" t="e">
            <v>#REF!</v>
          </cell>
          <cell r="AV22" t="e">
            <v>#REF!</v>
          </cell>
          <cell r="AW22" t="e">
            <v>#REF!</v>
          </cell>
          <cell r="AX22" t="e">
            <v>#REF!</v>
          </cell>
          <cell r="AY22" t="e">
            <v>#REF!</v>
          </cell>
          <cell r="AZ22" t="e">
            <v>#REF!</v>
          </cell>
          <cell r="BA22" t="e">
            <v>#REF!</v>
          </cell>
          <cell r="BB22" t="e">
            <v>#REF!</v>
          </cell>
          <cell r="BC22" t="e">
            <v>#REF!</v>
          </cell>
          <cell r="BD22">
            <v>0</v>
          </cell>
          <cell r="BG22">
            <v>76700</v>
          </cell>
          <cell r="BH22">
            <v>-1740</v>
          </cell>
          <cell r="BI22">
            <v>0</v>
          </cell>
          <cell r="BJ22">
            <v>-57683.333333333336</v>
          </cell>
          <cell r="BK22">
            <v>0</v>
          </cell>
          <cell r="BL22">
            <v>72081</v>
          </cell>
          <cell r="BM22" t="e">
            <v>#N/A</v>
          </cell>
          <cell r="BN22">
            <v>29025</v>
          </cell>
          <cell r="BP22">
            <v>64680</v>
          </cell>
        </row>
        <row r="23">
          <cell r="C23">
            <v>2014</v>
          </cell>
          <cell r="D23" t="str">
            <v>Brightside Nursery Inf School</v>
          </cell>
          <cell r="E23">
            <v>42</v>
          </cell>
          <cell r="F23">
            <v>0</v>
          </cell>
          <cell r="G23">
            <v>3</v>
          </cell>
          <cell r="H23">
            <v>6</v>
          </cell>
          <cell r="I23">
            <v>55440</v>
          </cell>
          <cell r="J23">
            <v>900</v>
          </cell>
          <cell r="K23">
            <v>13800</v>
          </cell>
          <cell r="L23">
            <v>70140</v>
          </cell>
          <cell r="M23"/>
          <cell r="N23">
            <v>0</v>
          </cell>
          <cell r="O23">
            <v>0</v>
          </cell>
          <cell r="P23" t="b">
            <v>0</v>
          </cell>
          <cell r="Q23">
            <v>0</v>
          </cell>
          <cell r="R23">
            <v>12</v>
          </cell>
          <cell r="S23">
            <v>1320</v>
          </cell>
          <cell r="U23">
            <v>70140</v>
          </cell>
          <cell r="V23">
            <v>42</v>
          </cell>
          <cell r="W23">
            <v>0</v>
          </cell>
          <cell r="X23">
            <v>3</v>
          </cell>
          <cell r="Y23">
            <v>6</v>
          </cell>
          <cell r="Z23">
            <v>70140</v>
          </cell>
          <cell r="AA23">
            <v>0</v>
          </cell>
          <cell r="AB23">
            <v>0</v>
          </cell>
          <cell r="AC23">
            <v>13860</v>
          </cell>
          <cell r="AD23">
            <v>18760</v>
          </cell>
          <cell r="AE23">
            <v>18760</v>
          </cell>
          <cell r="AF23">
            <v>18760</v>
          </cell>
          <cell r="AG23">
            <v>0</v>
          </cell>
          <cell r="AK23">
            <v>55440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  <cell r="AQ23" t="e">
            <v>#REF!</v>
          </cell>
          <cell r="AR23" t="e">
            <v>#REF!</v>
          </cell>
          <cell r="AS23" t="e">
            <v>#REF!</v>
          </cell>
          <cell r="AT23" t="e">
            <v>#REF!</v>
          </cell>
          <cell r="AV23" t="e">
            <v>#REF!</v>
          </cell>
          <cell r="AW23" t="e">
            <v>#REF!</v>
          </cell>
          <cell r="AX23" t="e">
            <v>#REF!</v>
          </cell>
          <cell r="AY23" t="e">
            <v>#REF!</v>
          </cell>
          <cell r="AZ23" t="e">
            <v>#REF!</v>
          </cell>
          <cell r="BA23" t="e">
            <v>#REF!</v>
          </cell>
          <cell r="BB23" t="e">
            <v>#REF!</v>
          </cell>
          <cell r="BC23" t="e">
            <v>#REF!</v>
          </cell>
          <cell r="BD23">
            <v>0</v>
          </cell>
          <cell r="BG23">
            <v>60300</v>
          </cell>
          <cell r="BH23">
            <v>-9840</v>
          </cell>
          <cell r="BI23">
            <v>0</v>
          </cell>
          <cell r="BJ23">
            <v>-51380</v>
          </cell>
          <cell r="BK23">
            <v>0</v>
          </cell>
          <cell r="BL23">
            <v>72087</v>
          </cell>
          <cell r="BM23" t="e">
            <v>#N/A</v>
          </cell>
          <cell r="BN23">
            <v>30885</v>
          </cell>
          <cell r="BP23">
            <v>55440</v>
          </cell>
        </row>
        <row r="24">
          <cell r="C24">
            <v>2246</v>
          </cell>
          <cell r="D24" t="str">
            <v>Brook House Junior School</v>
          </cell>
          <cell r="E24">
            <v>45</v>
          </cell>
          <cell r="F24">
            <v>0</v>
          </cell>
          <cell r="G24">
            <v>1</v>
          </cell>
          <cell r="H24">
            <v>0</v>
          </cell>
          <cell r="I24">
            <v>59400</v>
          </cell>
          <cell r="J24">
            <v>300</v>
          </cell>
          <cell r="K24">
            <v>0</v>
          </cell>
          <cell r="L24">
            <v>59700</v>
          </cell>
          <cell r="M24"/>
          <cell r="N24">
            <v>0</v>
          </cell>
          <cell r="O24">
            <v>0</v>
          </cell>
          <cell r="P24" t="b">
            <v>0</v>
          </cell>
          <cell r="Q24">
            <v>0</v>
          </cell>
          <cell r="R24">
            <v>12</v>
          </cell>
          <cell r="S24">
            <v>1320</v>
          </cell>
          <cell r="U24">
            <v>59700</v>
          </cell>
          <cell r="V24">
            <v>45</v>
          </cell>
          <cell r="W24">
            <v>0</v>
          </cell>
          <cell r="X24">
            <v>1</v>
          </cell>
          <cell r="Y24">
            <v>0</v>
          </cell>
          <cell r="Z24">
            <v>59700</v>
          </cell>
          <cell r="AA24">
            <v>0</v>
          </cell>
          <cell r="AB24">
            <v>0</v>
          </cell>
          <cell r="AC24">
            <v>14520</v>
          </cell>
          <cell r="AD24">
            <v>15060</v>
          </cell>
          <cell r="AE24">
            <v>15060</v>
          </cell>
          <cell r="AF24">
            <v>15060</v>
          </cell>
          <cell r="AG24">
            <v>0</v>
          </cell>
          <cell r="AK24">
            <v>58080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  <cell r="AQ24" t="e">
            <v>#REF!</v>
          </cell>
          <cell r="AR24" t="e">
            <v>#REF!</v>
          </cell>
          <cell r="AS24" t="e">
            <v>#REF!</v>
          </cell>
          <cell r="AT24" t="e">
            <v>#REF!</v>
          </cell>
          <cell r="AV24" t="e">
            <v>#REF!</v>
          </cell>
          <cell r="AW24" t="e">
            <v>#REF!</v>
          </cell>
          <cell r="AX24" t="e">
            <v>#REF!</v>
          </cell>
          <cell r="AY24" t="e">
            <v>#REF!</v>
          </cell>
          <cell r="AZ24" t="e">
            <v>#REF!</v>
          </cell>
          <cell r="BA24" t="e">
            <v>#REF!</v>
          </cell>
          <cell r="BB24" t="e">
            <v>#REF!</v>
          </cell>
          <cell r="BC24" t="e">
            <v>#REF!</v>
          </cell>
          <cell r="BD24">
            <v>0</v>
          </cell>
          <cell r="BG24">
            <v>7760</v>
          </cell>
          <cell r="BH24">
            <v>-51940</v>
          </cell>
          <cell r="BI24">
            <v>0</v>
          </cell>
          <cell r="BJ24">
            <v>-44640</v>
          </cell>
          <cell r="BK24">
            <v>0</v>
          </cell>
          <cell r="BL24">
            <v>72092</v>
          </cell>
          <cell r="BM24" t="e">
            <v>#N/A</v>
          </cell>
          <cell r="BN24">
            <v>55515</v>
          </cell>
          <cell r="BP24">
            <v>58080</v>
          </cell>
        </row>
        <row r="25">
          <cell r="C25">
            <v>5204</v>
          </cell>
          <cell r="D25" t="str">
            <v>Broomhill Infant School</v>
          </cell>
          <cell r="E25">
            <v>12</v>
          </cell>
          <cell r="F25">
            <v>0</v>
          </cell>
          <cell r="G25">
            <v>0</v>
          </cell>
          <cell r="H25">
            <v>1</v>
          </cell>
          <cell r="I25">
            <v>15840</v>
          </cell>
          <cell r="J25">
            <v>0</v>
          </cell>
          <cell r="K25">
            <v>2300</v>
          </cell>
          <cell r="L25">
            <v>18140</v>
          </cell>
          <cell r="M25"/>
          <cell r="N25">
            <v>0</v>
          </cell>
          <cell r="O25">
            <v>0</v>
          </cell>
          <cell r="P25" t="b">
            <v>0</v>
          </cell>
          <cell r="Q25">
            <v>0</v>
          </cell>
          <cell r="R25">
            <v>12</v>
          </cell>
          <cell r="S25">
            <v>1320</v>
          </cell>
          <cell r="U25">
            <v>18140</v>
          </cell>
          <cell r="V25">
            <v>12</v>
          </cell>
          <cell r="W25">
            <v>0</v>
          </cell>
          <cell r="X25">
            <v>0</v>
          </cell>
          <cell r="Y25">
            <v>1</v>
          </cell>
          <cell r="Z25">
            <v>18140</v>
          </cell>
          <cell r="AA25">
            <v>0</v>
          </cell>
          <cell r="AB25">
            <v>0</v>
          </cell>
          <cell r="AC25">
            <v>2970</v>
          </cell>
          <cell r="AD25">
            <v>5056.666666666667</v>
          </cell>
          <cell r="AE25">
            <v>5056.6666666666661</v>
          </cell>
          <cell r="AF25">
            <v>5056.6666666666661</v>
          </cell>
          <cell r="AG25">
            <v>0</v>
          </cell>
          <cell r="AK25">
            <v>11880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  <cell r="AQ25" t="e">
            <v>#REF!</v>
          </cell>
          <cell r="AR25" t="e">
            <v>#REF!</v>
          </cell>
          <cell r="AS25" t="e">
            <v>#REF!</v>
          </cell>
          <cell r="AT25" t="e">
            <v>#REF!</v>
          </cell>
          <cell r="AV25" t="e">
            <v>#REF!</v>
          </cell>
          <cell r="AW25" t="e">
            <v>#REF!</v>
          </cell>
          <cell r="AX25" t="e">
            <v>#REF!</v>
          </cell>
          <cell r="AY25" t="e">
            <v>#REF!</v>
          </cell>
          <cell r="AZ25" t="e">
            <v>#REF!</v>
          </cell>
          <cell r="BA25" t="e">
            <v>#REF!</v>
          </cell>
          <cell r="BB25" t="e">
            <v>#REF!</v>
          </cell>
          <cell r="BC25" t="e">
            <v>#REF!</v>
          </cell>
          <cell r="BD25">
            <v>0</v>
          </cell>
          <cell r="BG25">
            <v>158960</v>
          </cell>
          <cell r="BH25">
            <v>140820</v>
          </cell>
          <cell r="BI25">
            <v>0</v>
          </cell>
          <cell r="BJ25">
            <v>-13083.333333333332</v>
          </cell>
          <cell r="BK25">
            <v>0</v>
          </cell>
          <cell r="BL25">
            <v>72093</v>
          </cell>
          <cell r="BM25" t="e">
            <v>#N/A</v>
          </cell>
          <cell r="BN25">
            <v>219780</v>
          </cell>
          <cell r="BP25">
            <v>11880</v>
          </cell>
        </row>
        <row r="26">
          <cell r="C26">
            <v>2325</v>
          </cell>
          <cell r="D26" t="str">
            <v>Brunswick Community Primary</v>
          </cell>
          <cell r="E26">
            <v>131</v>
          </cell>
          <cell r="F26">
            <v>0</v>
          </cell>
          <cell r="G26">
            <v>2</v>
          </cell>
          <cell r="H26">
            <v>5</v>
          </cell>
          <cell r="I26">
            <v>172920</v>
          </cell>
          <cell r="J26">
            <v>600</v>
          </cell>
          <cell r="K26">
            <v>11500</v>
          </cell>
          <cell r="L26">
            <v>185020</v>
          </cell>
          <cell r="M26"/>
          <cell r="N26">
            <v>0</v>
          </cell>
          <cell r="O26">
            <v>0</v>
          </cell>
          <cell r="P26" t="b">
            <v>0</v>
          </cell>
          <cell r="Q26">
            <v>0</v>
          </cell>
          <cell r="R26">
            <v>12</v>
          </cell>
          <cell r="S26">
            <v>1320</v>
          </cell>
          <cell r="U26">
            <v>185020</v>
          </cell>
          <cell r="V26">
            <v>131</v>
          </cell>
          <cell r="W26">
            <v>0</v>
          </cell>
          <cell r="X26">
            <v>2</v>
          </cell>
          <cell r="Y26">
            <v>5</v>
          </cell>
          <cell r="Z26">
            <v>185020</v>
          </cell>
          <cell r="AA26">
            <v>0</v>
          </cell>
          <cell r="AB26">
            <v>0</v>
          </cell>
          <cell r="AC26">
            <v>41910</v>
          </cell>
          <cell r="AD26">
            <v>47703.333333333336</v>
          </cell>
          <cell r="AE26">
            <v>47703.333333333328</v>
          </cell>
          <cell r="AF26">
            <v>47703.333333333328</v>
          </cell>
          <cell r="AG26">
            <v>0</v>
          </cell>
          <cell r="AK26">
            <v>167640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  <cell r="AQ26" t="e">
            <v>#REF!</v>
          </cell>
          <cell r="AR26" t="e">
            <v>#REF!</v>
          </cell>
          <cell r="AS26" t="e">
            <v>#REF!</v>
          </cell>
          <cell r="AT26" t="e">
            <v>#REF!</v>
          </cell>
          <cell r="AV26" t="e">
            <v>#REF!</v>
          </cell>
          <cell r="AW26" t="e">
            <v>#REF!</v>
          </cell>
          <cell r="AX26" t="e">
            <v>#REF!</v>
          </cell>
          <cell r="AY26" t="e">
            <v>#REF!</v>
          </cell>
          <cell r="AZ26" t="e">
            <v>#REF!</v>
          </cell>
          <cell r="BA26" t="e">
            <v>#REF!</v>
          </cell>
          <cell r="BB26" t="e">
            <v>#REF!</v>
          </cell>
          <cell r="BC26" t="e">
            <v>#REF!</v>
          </cell>
          <cell r="BD26">
            <v>0</v>
          </cell>
          <cell r="BG26">
            <v>125950</v>
          </cell>
          <cell r="BH26">
            <v>-59070</v>
          </cell>
          <cell r="BI26">
            <v>0</v>
          </cell>
          <cell r="BJ26">
            <v>-137316.66666666669</v>
          </cell>
          <cell r="BK26">
            <v>0</v>
          </cell>
          <cell r="BL26">
            <v>72095</v>
          </cell>
          <cell r="BM26" t="e">
            <v>#N/A</v>
          </cell>
          <cell r="BN26">
            <v>125950</v>
          </cell>
          <cell r="BP26">
            <v>167640</v>
          </cell>
        </row>
        <row r="27">
          <cell r="C27">
            <v>2095</v>
          </cell>
          <cell r="D27" t="str">
            <v>Byron Wood</v>
          </cell>
          <cell r="E27">
            <v>202</v>
          </cell>
          <cell r="F27">
            <v>0</v>
          </cell>
          <cell r="G27">
            <v>0</v>
          </cell>
          <cell r="H27">
            <v>0</v>
          </cell>
          <cell r="I27">
            <v>266640</v>
          </cell>
          <cell r="J27">
            <v>0</v>
          </cell>
          <cell r="K27">
            <v>0</v>
          </cell>
          <cell r="L27">
            <v>266640</v>
          </cell>
          <cell r="M27"/>
          <cell r="N27" t="str">
            <v>Recoupment Academy</v>
          </cell>
          <cell r="O27">
            <v>0</v>
          </cell>
          <cell r="P27" t="b">
            <v>1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201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 t="e">
            <v>#N/A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K27">
            <v>0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  <cell r="AQ27" t="e">
            <v>#REF!</v>
          </cell>
          <cell r="AR27" t="e">
            <v>#REF!</v>
          </cell>
          <cell r="AS27" t="e">
            <v>#REF!</v>
          </cell>
          <cell r="AT27" t="e">
            <v>#REF!</v>
          </cell>
          <cell r="AV27" t="e">
            <v>#REF!</v>
          </cell>
          <cell r="AW27" t="e">
            <v>#REF!</v>
          </cell>
          <cell r="AX27" t="e">
            <v>#REF!</v>
          </cell>
          <cell r="AY27" t="e">
            <v>#REF!</v>
          </cell>
          <cell r="AZ27" t="e">
            <v>#REF!</v>
          </cell>
          <cell r="BA27" t="e">
            <v>#REF!</v>
          </cell>
          <cell r="BB27" t="e">
            <v>#REF!</v>
          </cell>
          <cell r="BC27" t="e">
            <v>#REF!</v>
          </cell>
          <cell r="BD27">
            <v>0</v>
          </cell>
          <cell r="BG27">
            <v>160900</v>
          </cell>
          <cell r="BH27">
            <v>160900</v>
          </cell>
          <cell r="BI27">
            <v>0</v>
          </cell>
          <cell r="BJ27">
            <v>0</v>
          </cell>
          <cell r="BK27">
            <v>0</v>
          </cell>
          <cell r="BL27">
            <v>72139</v>
          </cell>
          <cell r="BM27" t="e">
            <v>#N/A</v>
          </cell>
          <cell r="BN27">
            <v>164340</v>
          </cell>
          <cell r="BP27">
            <v>281160</v>
          </cell>
        </row>
        <row r="28">
          <cell r="C28">
            <v>2344</v>
          </cell>
          <cell r="D28" t="str">
            <v>Carfield Primary School</v>
          </cell>
          <cell r="E28">
            <v>134</v>
          </cell>
          <cell r="F28">
            <v>0</v>
          </cell>
          <cell r="G28">
            <v>0</v>
          </cell>
          <cell r="H28">
            <v>1</v>
          </cell>
          <cell r="I28">
            <v>176880</v>
          </cell>
          <cell r="J28">
            <v>0</v>
          </cell>
          <cell r="K28">
            <v>2300</v>
          </cell>
          <cell r="L28">
            <v>179180</v>
          </cell>
          <cell r="M28"/>
          <cell r="N28">
            <v>0</v>
          </cell>
          <cell r="O28">
            <v>0</v>
          </cell>
          <cell r="P28" t="b">
            <v>0</v>
          </cell>
          <cell r="Q28">
            <v>0</v>
          </cell>
          <cell r="R28">
            <v>12</v>
          </cell>
          <cell r="S28">
            <v>1320</v>
          </cell>
          <cell r="U28">
            <v>179180</v>
          </cell>
          <cell r="V28">
            <v>132</v>
          </cell>
          <cell r="W28">
            <v>0</v>
          </cell>
          <cell r="X28">
            <v>0</v>
          </cell>
          <cell r="Y28">
            <v>1</v>
          </cell>
          <cell r="Z28">
            <v>176540</v>
          </cell>
          <cell r="AA28">
            <v>-2640</v>
          </cell>
          <cell r="AB28">
            <v>-2640</v>
          </cell>
          <cell r="AC28">
            <v>44550</v>
          </cell>
          <cell r="AD28">
            <v>44876.666666666664</v>
          </cell>
          <cell r="AE28">
            <v>43556.666666666672</v>
          </cell>
          <cell r="AF28">
            <v>43556.666666666672</v>
          </cell>
          <cell r="AG28">
            <v>0</v>
          </cell>
          <cell r="AK28">
            <v>178200</v>
          </cell>
          <cell r="AM28" t="e">
            <v>#REF!</v>
          </cell>
          <cell r="AN28" t="e">
            <v>#REF!</v>
          </cell>
          <cell r="AO28" t="e">
            <v>#REF!</v>
          </cell>
          <cell r="AP28" t="e">
            <v>#REF!</v>
          </cell>
          <cell r="AQ28" t="e">
            <v>#REF!</v>
          </cell>
          <cell r="AR28" t="e">
            <v>#REF!</v>
          </cell>
          <cell r="AS28" t="e">
            <v>#REF!</v>
          </cell>
          <cell r="AT28" t="e">
            <v>#REF!</v>
          </cell>
          <cell r="AV28" t="e">
            <v>#REF!</v>
          </cell>
          <cell r="AW28" t="e">
            <v>#REF!</v>
          </cell>
          <cell r="AX28" t="e">
            <v>#REF!</v>
          </cell>
          <cell r="AY28" t="e">
            <v>#REF!</v>
          </cell>
          <cell r="AZ28" t="e">
            <v>#REF!</v>
          </cell>
          <cell r="BA28" t="e">
            <v>#REF!</v>
          </cell>
          <cell r="BB28" t="e">
            <v>#REF!</v>
          </cell>
          <cell r="BC28" t="e">
            <v>#REF!</v>
          </cell>
          <cell r="BD28">
            <v>-2640</v>
          </cell>
          <cell r="BG28">
            <v>58660</v>
          </cell>
          <cell r="BH28">
            <v>-120520</v>
          </cell>
          <cell r="BI28">
            <v>0</v>
          </cell>
          <cell r="BJ28">
            <v>-132983.33333333331</v>
          </cell>
          <cell r="BK28">
            <v>0</v>
          </cell>
          <cell r="BL28">
            <v>72206</v>
          </cell>
          <cell r="BM28" t="e">
            <v>#N/A</v>
          </cell>
          <cell r="BN28">
            <v>7245</v>
          </cell>
          <cell r="BP28">
            <v>178200</v>
          </cell>
        </row>
        <row r="29">
          <cell r="C29">
            <v>2023</v>
          </cell>
          <cell r="D29" t="str">
            <v>Carter Knowle Junior</v>
          </cell>
          <cell r="E29">
            <v>34</v>
          </cell>
          <cell r="F29">
            <v>0</v>
          </cell>
          <cell r="G29">
            <v>0</v>
          </cell>
          <cell r="H29">
            <v>2</v>
          </cell>
          <cell r="I29">
            <v>44880</v>
          </cell>
          <cell r="J29">
            <v>0</v>
          </cell>
          <cell r="K29">
            <v>4600</v>
          </cell>
          <cell r="L29">
            <v>49480</v>
          </cell>
          <cell r="M29"/>
          <cell r="N29">
            <v>0</v>
          </cell>
          <cell r="O29">
            <v>0</v>
          </cell>
          <cell r="P29" t="b">
            <v>0</v>
          </cell>
          <cell r="Q29">
            <v>0</v>
          </cell>
          <cell r="R29">
            <v>12</v>
          </cell>
          <cell r="S29">
            <v>1320</v>
          </cell>
          <cell r="U29">
            <v>49480</v>
          </cell>
          <cell r="V29">
            <v>34</v>
          </cell>
          <cell r="W29">
            <v>0</v>
          </cell>
          <cell r="X29">
            <v>0</v>
          </cell>
          <cell r="Y29">
            <v>2</v>
          </cell>
          <cell r="Z29">
            <v>49480</v>
          </cell>
          <cell r="AA29">
            <v>0</v>
          </cell>
          <cell r="AB29">
            <v>0</v>
          </cell>
          <cell r="AC29">
            <v>11550</v>
          </cell>
          <cell r="AD29">
            <v>12643.333333333334</v>
          </cell>
          <cell r="AE29">
            <v>12643.333333333332</v>
          </cell>
          <cell r="AF29">
            <v>12643.333333333332</v>
          </cell>
          <cell r="AG29">
            <v>0</v>
          </cell>
          <cell r="AK29">
            <v>46200</v>
          </cell>
          <cell r="AM29" t="e">
            <v>#REF!</v>
          </cell>
          <cell r="AN29" t="e">
            <v>#REF!</v>
          </cell>
          <cell r="AO29" t="e">
            <v>#REF!</v>
          </cell>
          <cell r="AP29" t="e">
            <v>#REF!</v>
          </cell>
          <cell r="AQ29" t="e">
            <v>#REF!</v>
          </cell>
          <cell r="AR29" t="e">
            <v>#REF!</v>
          </cell>
          <cell r="AS29" t="e">
            <v>#REF!</v>
          </cell>
          <cell r="AT29" t="e">
            <v>#REF!</v>
          </cell>
          <cell r="AV29" t="e">
            <v>#REF!</v>
          </cell>
          <cell r="AW29" t="e">
            <v>#REF!</v>
          </cell>
          <cell r="AX29" t="e">
            <v>#REF!</v>
          </cell>
          <cell r="AY29" t="e">
            <v>#REF!</v>
          </cell>
          <cell r="AZ29" t="e">
            <v>#REF!</v>
          </cell>
          <cell r="BA29" t="e">
            <v>#REF!</v>
          </cell>
          <cell r="BB29" t="e">
            <v>#REF!</v>
          </cell>
          <cell r="BC29" t="e">
            <v>#REF!</v>
          </cell>
          <cell r="BD29">
            <v>0</v>
          </cell>
          <cell r="BG29">
            <v>84900</v>
          </cell>
          <cell r="BH29">
            <v>35420</v>
          </cell>
          <cell r="BI29">
            <v>0</v>
          </cell>
          <cell r="BJ29">
            <v>-49480</v>
          </cell>
          <cell r="BK29">
            <v>0</v>
          </cell>
          <cell r="BL29">
            <v>72213</v>
          </cell>
          <cell r="BM29" t="e">
            <v>#N/A</v>
          </cell>
          <cell r="BN29">
            <v>17265</v>
          </cell>
          <cell r="BP29">
            <v>46200</v>
          </cell>
        </row>
        <row r="30">
          <cell r="C30">
            <v>2354</v>
          </cell>
          <cell r="D30" t="str">
            <v>Charnock Hall Primary School</v>
          </cell>
          <cell r="E30">
            <v>66</v>
          </cell>
          <cell r="F30">
            <v>0</v>
          </cell>
          <cell r="G30">
            <v>0</v>
          </cell>
          <cell r="H30">
            <v>1</v>
          </cell>
          <cell r="I30">
            <v>87120</v>
          </cell>
          <cell r="J30">
            <v>0</v>
          </cell>
          <cell r="K30">
            <v>2300</v>
          </cell>
          <cell r="L30">
            <v>89420</v>
          </cell>
          <cell r="M30"/>
          <cell r="N30" t="str">
            <v>Recoupment Academy</v>
          </cell>
          <cell r="O30">
            <v>0</v>
          </cell>
          <cell r="P30" t="b">
            <v>1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66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 t="e">
            <v>#N/A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K30">
            <v>0</v>
          </cell>
          <cell r="AM30" t="e">
            <v>#REF!</v>
          </cell>
          <cell r="AN30" t="e">
            <v>#REF!</v>
          </cell>
          <cell r="AO30" t="e">
            <v>#REF!</v>
          </cell>
          <cell r="AP30" t="e">
            <v>#REF!</v>
          </cell>
          <cell r="AQ30" t="e">
            <v>#REF!</v>
          </cell>
          <cell r="AR30" t="e">
            <v>#REF!</v>
          </cell>
          <cell r="AS30" t="e">
            <v>#REF!</v>
          </cell>
          <cell r="AT30" t="e">
            <v>#REF!</v>
          </cell>
          <cell r="AV30" t="e">
            <v>#REF!</v>
          </cell>
          <cell r="AW30" t="e">
            <v>#REF!</v>
          </cell>
          <cell r="AX30" t="e">
            <v>#REF!</v>
          </cell>
          <cell r="AY30" t="e">
            <v>#REF!</v>
          </cell>
          <cell r="AZ30" t="e">
            <v>#REF!</v>
          </cell>
          <cell r="BA30" t="e">
            <v>#REF!</v>
          </cell>
          <cell r="BB30" t="e">
            <v>#REF!</v>
          </cell>
          <cell r="BC30" t="e">
            <v>#REF!</v>
          </cell>
          <cell r="BD30">
            <v>0</v>
          </cell>
          <cell r="BG30">
            <v>5280</v>
          </cell>
          <cell r="BH30">
            <v>5280</v>
          </cell>
          <cell r="BI30">
            <v>0</v>
          </cell>
          <cell r="BJ30">
            <v>0</v>
          </cell>
          <cell r="BK30">
            <v>0</v>
          </cell>
          <cell r="BL30">
            <v>72221</v>
          </cell>
          <cell r="BM30" t="e">
            <v>#N/A</v>
          </cell>
          <cell r="BN30">
            <v>5820</v>
          </cell>
          <cell r="BP30">
            <v>83160</v>
          </cell>
        </row>
        <row r="31">
          <cell r="C31">
            <v>5200</v>
          </cell>
          <cell r="D31" t="str">
            <v>Clifford C of E Infant School</v>
          </cell>
          <cell r="E31">
            <v>12</v>
          </cell>
          <cell r="F31">
            <v>0</v>
          </cell>
          <cell r="G31">
            <v>0</v>
          </cell>
          <cell r="H31">
            <v>0</v>
          </cell>
          <cell r="I31">
            <v>15840</v>
          </cell>
          <cell r="J31">
            <v>0</v>
          </cell>
          <cell r="K31">
            <v>0</v>
          </cell>
          <cell r="L31">
            <v>15840</v>
          </cell>
          <cell r="M31"/>
          <cell r="N31">
            <v>0</v>
          </cell>
          <cell r="O31">
            <v>0</v>
          </cell>
          <cell r="P31" t="b">
            <v>0</v>
          </cell>
          <cell r="Q31">
            <v>0</v>
          </cell>
          <cell r="R31">
            <v>12</v>
          </cell>
          <cell r="S31">
            <v>1320</v>
          </cell>
          <cell r="U31">
            <v>15840</v>
          </cell>
          <cell r="V31">
            <v>12</v>
          </cell>
          <cell r="W31">
            <v>0</v>
          </cell>
          <cell r="X31">
            <v>0</v>
          </cell>
          <cell r="Y31">
            <v>0</v>
          </cell>
          <cell r="Z31">
            <v>15840</v>
          </cell>
          <cell r="AA31">
            <v>0</v>
          </cell>
          <cell r="AB31">
            <v>0</v>
          </cell>
          <cell r="AC31">
            <v>2970</v>
          </cell>
          <cell r="AD31">
            <v>4290</v>
          </cell>
          <cell r="AE31">
            <v>4290</v>
          </cell>
          <cell r="AF31">
            <v>4290</v>
          </cell>
          <cell r="AG31">
            <v>0</v>
          </cell>
          <cell r="AK31">
            <v>11880</v>
          </cell>
          <cell r="AM31" t="e">
            <v>#REF!</v>
          </cell>
          <cell r="AN31" t="e">
            <v>#REF!</v>
          </cell>
          <cell r="AO31" t="e">
            <v>#REF!</v>
          </cell>
          <cell r="AP31" t="e">
            <v>#REF!</v>
          </cell>
          <cell r="AQ31" t="e">
            <v>#REF!</v>
          </cell>
          <cell r="AR31" t="e">
            <v>#REF!</v>
          </cell>
          <cell r="AS31" t="e">
            <v>#REF!</v>
          </cell>
          <cell r="AT31" t="e">
            <v>#REF!</v>
          </cell>
          <cell r="AV31" t="e">
            <v>#REF!</v>
          </cell>
          <cell r="AW31" t="e">
            <v>#REF!</v>
          </cell>
          <cell r="AX31" t="e">
            <v>#REF!</v>
          </cell>
          <cell r="AY31" t="e">
            <v>#REF!</v>
          </cell>
          <cell r="AZ31" t="e">
            <v>#REF!</v>
          </cell>
          <cell r="BA31" t="e">
            <v>#REF!</v>
          </cell>
          <cell r="BB31" t="e">
            <v>#REF!</v>
          </cell>
          <cell r="BC31" t="e">
            <v>#REF!</v>
          </cell>
          <cell r="BD31">
            <v>0</v>
          </cell>
          <cell r="BG31">
            <v>26980</v>
          </cell>
          <cell r="BH31">
            <v>11140</v>
          </cell>
          <cell r="BI31">
            <v>0</v>
          </cell>
          <cell r="BJ31">
            <v>-11550</v>
          </cell>
          <cell r="BK31">
            <v>0</v>
          </cell>
          <cell r="BL31">
            <v>72230</v>
          </cell>
          <cell r="BM31" t="e">
            <v>#N/A</v>
          </cell>
          <cell r="BN31">
            <v>82903</v>
          </cell>
          <cell r="BP31">
            <v>11880</v>
          </cell>
        </row>
        <row r="32">
          <cell r="C32">
            <v>2312</v>
          </cell>
          <cell r="D32" t="str">
            <v>Coit Primary</v>
          </cell>
          <cell r="E32">
            <v>20</v>
          </cell>
          <cell r="F32">
            <v>0</v>
          </cell>
          <cell r="G32">
            <v>0</v>
          </cell>
          <cell r="H32">
            <v>2</v>
          </cell>
          <cell r="I32">
            <v>26400</v>
          </cell>
          <cell r="J32">
            <v>0</v>
          </cell>
          <cell r="K32">
            <v>4600</v>
          </cell>
          <cell r="L32">
            <v>31000</v>
          </cell>
          <cell r="M32"/>
          <cell r="N32">
            <v>0</v>
          </cell>
          <cell r="O32">
            <v>0</v>
          </cell>
          <cell r="P32" t="b">
            <v>0</v>
          </cell>
          <cell r="Q32">
            <v>0</v>
          </cell>
          <cell r="R32">
            <v>12</v>
          </cell>
          <cell r="S32">
            <v>1320</v>
          </cell>
          <cell r="U32">
            <v>31000</v>
          </cell>
          <cell r="V32">
            <v>20</v>
          </cell>
          <cell r="W32">
            <v>0</v>
          </cell>
          <cell r="X32">
            <v>0</v>
          </cell>
          <cell r="Y32">
            <v>2</v>
          </cell>
          <cell r="Z32">
            <v>31000</v>
          </cell>
          <cell r="AA32">
            <v>0</v>
          </cell>
          <cell r="AB32">
            <v>0</v>
          </cell>
          <cell r="AC32">
            <v>6600</v>
          </cell>
          <cell r="AD32">
            <v>8133.333333333333</v>
          </cell>
          <cell r="AE32">
            <v>8133.3333333333339</v>
          </cell>
          <cell r="AF32">
            <v>8133.3333333333339</v>
          </cell>
          <cell r="AG32">
            <v>0</v>
          </cell>
          <cell r="AK32">
            <v>26400</v>
          </cell>
          <cell r="AM32" t="e">
            <v>#REF!</v>
          </cell>
          <cell r="AN32" t="e">
            <v>#REF!</v>
          </cell>
          <cell r="AO32" t="e">
            <v>#REF!</v>
          </cell>
          <cell r="AP32" t="e">
            <v>#REF!</v>
          </cell>
          <cell r="AQ32" t="e">
            <v>#REF!</v>
          </cell>
          <cell r="AR32" t="e">
            <v>#REF!</v>
          </cell>
          <cell r="AS32" t="e">
            <v>#REF!</v>
          </cell>
          <cell r="AT32" t="e">
            <v>#REF!</v>
          </cell>
          <cell r="AV32" t="e">
            <v>#REF!</v>
          </cell>
          <cell r="AW32" t="e">
            <v>#REF!</v>
          </cell>
          <cell r="AX32" t="e">
            <v>#REF!</v>
          </cell>
          <cell r="AY32" t="e">
            <v>#REF!</v>
          </cell>
          <cell r="AZ32" t="e">
            <v>#REF!</v>
          </cell>
          <cell r="BA32" t="e">
            <v>#REF!</v>
          </cell>
          <cell r="BB32" t="e">
            <v>#REF!</v>
          </cell>
          <cell r="BC32" t="e">
            <v>#REF!</v>
          </cell>
          <cell r="BD32">
            <v>0</v>
          </cell>
          <cell r="BG32">
            <v>0</v>
          </cell>
          <cell r="BH32">
            <v>-31000</v>
          </cell>
          <cell r="BI32">
            <v>0</v>
          </cell>
          <cell r="BJ32">
            <v>-22866.666666666664</v>
          </cell>
          <cell r="BK32">
            <v>0</v>
          </cell>
          <cell r="BL32">
            <v>72233</v>
          </cell>
          <cell r="BM32" t="e">
            <v>#N/A</v>
          </cell>
          <cell r="BN32">
            <v>46965</v>
          </cell>
          <cell r="BP32">
            <v>26400</v>
          </cell>
        </row>
        <row r="33">
          <cell r="C33">
            <v>2026</v>
          </cell>
          <cell r="D33" t="str">
            <v>Concord Junior School</v>
          </cell>
          <cell r="E33">
            <v>89</v>
          </cell>
          <cell r="F33">
            <v>0</v>
          </cell>
          <cell r="G33">
            <v>0</v>
          </cell>
          <cell r="H33">
            <v>0</v>
          </cell>
          <cell r="I33">
            <v>117480</v>
          </cell>
          <cell r="J33">
            <v>0</v>
          </cell>
          <cell r="K33">
            <v>0</v>
          </cell>
          <cell r="L33">
            <v>117480</v>
          </cell>
          <cell r="M33"/>
          <cell r="N33" t="str">
            <v>Recoupment Academy</v>
          </cell>
          <cell r="O33">
            <v>0</v>
          </cell>
          <cell r="P33" t="b">
            <v>1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89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e">
            <v>#N/A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K33">
            <v>0</v>
          </cell>
          <cell r="AM33" t="e">
            <v>#REF!</v>
          </cell>
          <cell r="AN33" t="e">
            <v>#REF!</v>
          </cell>
          <cell r="AO33" t="e">
            <v>#REF!</v>
          </cell>
          <cell r="AP33" t="e">
            <v>#REF!</v>
          </cell>
          <cell r="AQ33" t="e">
            <v>#REF!</v>
          </cell>
          <cell r="AR33" t="e">
            <v>#REF!</v>
          </cell>
          <cell r="AS33" t="e">
            <v>#REF!</v>
          </cell>
          <cell r="AT33" t="e">
            <v>#REF!</v>
          </cell>
          <cell r="AV33" t="e">
            <v>#REF!</v>
          </cell>
          <cell r="AW33" t="e">
            <v>#REF!</v>
          </cell>
          <cell r="AX33" t="e">
            <v>#REF!</v>
          </cell>
          <cell r="AY33" t="e">
            <v>#REF!</v>
          </cell>
          <cell r="AZ33" t="e">
            <v>#REF!</v>
          </cell>
          <cell r="BA33" t="e">
            <v>#REF!</v>
          </cell>
          <cell r="BB33" t="e">
            <v>#REF!</v>
          </cell>
          <cell r="BC33" t="e">
            <v>#REF!</v>
          </cell>
          <cell r="BD33">
            <v>0</v>
          </cell>
          <cell r="BG33">
            <v>52800</v>
          </cell>
          <cell r="BH33">
            <v>52800</v>
          </cell>
          <cell r="BI33">
            <v>0</v>
          </cell>
          <cell r="BJ33">
            <v>0</v>
          </cell>
          <cell r="BK33">
            <v>0</v>
          </cell>
          <cell r="BL33">
            <v>72239</v>
          </cell>
          <cell r="BM33" t="e">
            <v>#N/A</v>
          </cell>
          <cell r="BN33">
            <v>23850</v>
          </cell>
          <cell r="BP33">
            <v>125400</v>
          </cell>
        </row>
        <row r="34">
          <cell r="C34">
            <v>3422</v>
          </cell>
          <cell r="D34" t="str">
            <v>Deepcar St John's C E Jnr Sch</v>
          </cell>
          <cell r="E34">
            <v>38</v>
          </cell>
          <cell r="F34">
            <v>0</v>
          </cell>
          <cell r="G34">
            <v>0</v>
          </cell>
          <cell r="H34">
            <v>1</v>
          </cell>
          <cell r="I34">
            <v>50160</v>
          </cell>
          <cell r="J34">
            <v>0</v>
          </cell>
          <cell r="K34">
            <v>2300</v>
          </cell>
          <cell r="L34">
            <v>52460</v>
          </cell>
          <cell r="M34"/>
          <cell r="N34">
            <v>0</v>
          </cell>
          <cell r="O34">
            <v>0</v>
          </cell>
          <cell r="P34" t="b">
            <v>0</v>
          </cell>
          <cell r="Q34">
            <v>0</v>
          </cell>
          <cell r="R34">
            <v>12</v>
          </cell>
          <cell r="S34">
            <v>1320</v>
          </cell>
          <cell r="U34">
            <v>52460</v>
          </cell>
          <cell r="V34">
            <v>38</v>
          </cell>
          <cell r="W34">
            <v>0</v>
          </cell>
          <cell r="X34">
            <v>0</v>
          </cell>
          <cell r="Y34">
            <v>1</v>
          </cell>
          <cell r="Z34">
            <v>52460</v>
          </cell>
          <cell r="AA34">
            <v>0</v>
          </cell>
          <cell r="AB34">
            <v>0</v>
          </cell>
          <cell r="AC34">
            <v>9900</v>
          </cell>
          <cell r="AD34">
            <v>14186.666666666666</v>
          </cell>
          <cell r="AE34">
            <v>14186.666666666668</v>
          </cell>
          <cell r="AF34">
            <v>14186.666666666668</v>
          </cell>
          <cell r="AG34">
            <v>0</v>
          </cell>
          <cell r="AK34">
            <v>39600</v>
          </cell>
          <cell r="AM34" t="e">
            <v>#REF!</v>
          </cell>
          <cell r="AN34" t="e">
            <v>#REF!</v>
          </cell>
          <cell r="AO34" t="e">
            <v>#REF!</v>
          </cell>
          <cell r="AP34" t="e">
            <v>#REF!</v>
          </cell>
          <cell r="AQ34" t="e">
            <v>#REF!</v>
          </cell>
          <cell r="AR34" t="e">
            <v>#REF!</v>
          </cell>
          <cell r="AS34" t="e">
            <v>#REF!</v>
          </cell>
          <cell r="AT34" t="e">
            <v>#REF!</v>
          </cell>
          <cell r="AV34" t="e">
            <v>#REF!</v>
          </cell>
          <cell r="AW34" t="e">
            <v>#REF!</v>
          </cell>
          <cell r="AX34" t="e">
            <v>#REF!</v>
          </cell>
          <cell r="AY34" t="e">
            <v>#REF!</v>
          </cell>
          <cell r="AZ34" t="e">
            <v>#REF!</v>
          </cell>
          <cell r="BA34" t="e">
            <v>#REF!</v>
          </cell>
          <cell r="BB34" t="e">
            <v>#REF!</v>
          </cell>
          <cell r="BC34" t="e">
            <v>#REF!</v>
          </cell>
          <cell r="BD34">
            <v>0</v>
          </cell>
          <cell r="BG34">
            <v>17140</v>
          </cell>
          <cell r="BH34">
            <v>-35320</v>
          </cell>
          <cell r="BI34">
            <v>0</v>
          </cell>
          <cell r="BJ34">
            <v>-38273.333333333328</v>
          </cell>
          <cell r="BK34">
            <v>0</v>
          </cell>
          <cell r="BL34">
            <v>72241</v>
          </cell>
          <cell r="BM34" t="e">
            <v>#N/A</v>
          </cell>
          <cell r="BN34">
            <v>29580</v>
          </cell>
          <cell r="BP34">
            <v>39600</v>
          </cell>
        </row>
        <row r="35">
          <cell r="C35">
            <v>2283</v>
          </cell>
          <cell r="D35" t="str">
            <v>Dobcroft Infant School</v>
          </cell>
          <cell r="E35">
            <v>6</v>
          </cell>
          <cell r="F35">
            <v>0</v>
          </cell>
          <cell r="G35">
            <v>2</v>
          </cell>
          <cell r="H35">
            <v>4</v>
          </cell>
          <cell r="I35">
            <v>7920</v>
          </cell>
          <cell r="J35">
            <v>600</v>
          </cell>
          <cell r="K35">
            <v>9200</v>
          </cell>
          <cell r="L35">
            <v>17720</v>
          </cell>
          <cell r="M35"/>
          <cell r="N35">
            <v>0</v>
          </cell>
          <cell r="O35">
            <v>0</v>
          </cell>
          <cell r="P35" t="b">
            <v>0</v>
          </cell>
          <cell r="Q35">
            <v>0</v>
          </cell>
          <cell r="R35">
            <v>12</v>
          </cell>
          <cell r="S35">
            <v>1320</v>
          </cell>
          <cell r="U35">
            <v>17720</v>
          </cell>
          <cell r="V35">
            <v>6</v>
          </cell>
          <cell r="W35">
            <v>0</v>
          </cell>
          <cell r="X35">
            <v>2</v>
          </cell>
          <cell r="Y35">
            <v>4</v>
          </cell>
          <cell r="Z35">
            <v>17720</v>
          </cell>
          <cell r="AA35">
            <v>0</v>
          </cell>
          <cell r="AB35">
            <v>0</v>
          </cell>
          <cell r="AC35">
            <v>1650</v>
          </cell>
          <cell r="AD35">
            <v>5356.666666666667</v>
          </cell>
          <cell r="AE35">
            <v>5356.6666666666661</v>
          </cell>
          <cell r="AF35">
            <v>5356.6666666666661</v>
          </cell>
          <cell r="AG35">
            <v>0</v>
          </cell>
          <cell r="AK35">
            <v>6600</v>
          </cell>
          <cell r="AM35" t="e">
            <v>#REF!</v>
          </cell>
          <cell r="AN35" t="e">
            <v>#REF!</v>
          </cell>
          <cell r="AO35" t="e">
            <v>#REF!</v>
          </cell>
          <cell r="AP35" t="e">
            <v>#REF!</v>
          </cell>
          <cell r="AQ35" t="e">
            <v>#REF!</v>
          </cell>
          <cell r="AR35" t="e">
            <v>#REF!</v>
          </cell>
          <cell r="AS35" t="e">
            <v>#REF!</v>
          </cell>
          <cell r="AT35" t="e">
            <v>#REF!</v>
          </cell>
          <cell r="AV35" t="e">
            <v>#REF!</v>
          </cell>
          <cell r="AW35" t="e">
            <v>#REF!</v>
          </cell>
          <cell r="AX35" t="e">
            <v>#REF!</v>
          </cell>
          <cell r="AY35" t="e">
            <v>#REF!</v>
          </cell>
          <cell r="AZ35" t="e">
            <v>#REF!</v>
          </cell>
          <cell r="BA35" t="e">
            <v>#REF!</v>
          </cell>
          <cell r="BB35" t="e">
            <v>#REF!</v>
          </cell>
          <cell r="BC35" t="e">
            <v>#REF!</v>
          </cell>
          <cell r="BD35">
            <v>0</v>
          </cell>
          <cell r="BG35">
            <v>31800</v>
          </cell>
          <cell r="BH35">
            <v>14080</v>
          </cell>
          <cell r="BI35">
            <v>0</v>
          </cell>
          <cell r="BJ35">
            <v>-12363.333333333332</v>
          </cell>
          <cell r="BK35">
            <v>0</v>
          </cell>
          <cell r="BL35">
            <v>72246</v>
          </cell>
          <cell r="BM35" t="e">
            <v>#N/A</v>
          </cell>
          <cell r="BN35">
            <v>45225</v>
          </cell>
          <cell r="BP35">
            <v>6600</v>
          </cell>
        </row>
        <row r="36">
          <cell r="C36">
            <v>2239</v>
          </cell>
          <cell r="D36" t="str">
            <v>Dobcroft Junior School</v>
          </cell>
          <cell r="E36">
            <v>7</v>
          </cell>
          <cell r="F36">
            <v>0</v>
          </cell>
          <cell r="G36">
            <v>1</v>
          </cell>
          <cell r="H36">
            <v>7</v>
          </cell>
          <cell r="I36">
            <v>9240</v>
          </cell>
          <cell r="J36">
            <v>300</v>
          </cell>
          <cell r="K36">
            <v>16100</v>
          </cell>
          <cell r="L36">
            <v>25640</v>
          </cell>
          <cell r="M36"/>
          <cell r="N36">
            <v>0</v>
          </cell>
          <cell r="O36">
            <v>0</v>
          </cell>
          <cell r="P36" t="b">
            <v>0</v>
          </cell>
          <cell r="Q36">
            <v>0</v>
          </cell>
          <cell r="R36">
            <v>12</v>
          </cell>
          <cell r="S36">
            <v>1320</v>
          </cell>
          <cell r="U36">
            <v>25640</v>
          </cell>
          <cell r="V36">
            <v>7</v>
          </cell>
          <cell r="W36">
            <v>0</v>
          </cell>
          <cell r="X36">
            <v>1</v>
          </cell>
          <cell r="Y36">
            <v>7</v>
          </cell>
          <cell r="Z36">
            <v>25640</v>
          </cell>
          <cell r="AA36">
            <v>0</v>
          </cell>
          <cell r="AB36">
            <v>0</v>
          </cell>
          <cell r="AC36">
            <v>3630</v>
          </cell>
          <cell r="AD36">
            <v>7336.666666666667</v>
          </cell>
          <cell r="AE36">
            <v>7336.6666666666661</v>
          </cell>
          <cell r="AF36">
            <v>7336.6666666666661</v>
          </cell>
          <cell r="AG36">
            <v>0</v>
          </cell>
          <cell r="AK36">
            <v>14520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  <cell r="AQ36" t="e">
            <v>#REF!</v>
          </cell>
          <cell r="AR36" t="e">
            <v>#REF!</v>
          </cell>
          <cell r="AS36" t="e">
            <v>#REF!</v>
          </cell>
          <cell r="AT36" t="e">
            <v>#REF!</v>
          </cell>
          <cell r="AV36" t="e">
            <v>#REF!</v>
          </cell>
          <cell r="AW36" t="e">
            <v>#REF!</v>
          </cell>
          <cell r="AX36" t="e">
            <v>#REF!</v>
          </cell>
          <cell r="AY36" t="e">
            <v>#REF!</v>
          </cell>
          <cell r="AZ36" t="e">
            <v>#REF!</v>
          </cell>
          <cell r="BA36" t="e">
            <v>#REF!</v>
          </cell>
          <cell r="BB36" t="e">
            <v>#REF!</v>
          </cell>
          <cell r="BC36" t="e">
            <v>#REF!</v>
          </cell>
          <cell r="BD36">
            <v>0</v>
          </cell>
          <cell r="BG36">
            <v>36800</v>
          </cell>
          <cell r="BH36">
            <v>11160</v>
          </cell>
          <cell r="BI36">
            <v>0</v>
          </cell>
          <cell r="BJ36">
            <v>-18303.333333333336</v>
          </cell>
          <cell r="BK36">
            <v>0</v>
          </cell>
          <cell r="BL36">
            <v>72252</v>
          </cell>
          <cell r="BM36" t="e">
            <v>#N/A</v>
          </cell>
          <cell r="BN36">
            <v>18045</v>
          </cell>
          <cell r="BP36">
            <v>14520</v>
          </cell>
        </row>
        <row r="37">
          <cell r="C37">
            <v>2364</v>
          </cell>
          <cell r="D37" t="str">
            <v>Dore Primary School</v>
          </cell>
          <cell r="E37">
            <v>18</v>
          </cell>
          <cell r="F37">
            <v>0</v>
          </cell>
          <cell r="G37">
            <v>1</v>
          </cell>
          <cell r="H37">
            <v>2</v>
          </cell>
          <cell r="I37">
            <v>23760</v>
          </cell>
          <cell r="J37">
            <v>300</v>
          </cell>
          <cell r="K37">
            <v>4600</v>
          </cell>
          <cell r="L37">
            <v>28660</v>
          </cell>
          <cell r="M37"/>
          <cell r="N37">
            <v>0</v>
          </cell>
          <cell r="O37">
            <v>0</v>
          </cell>
          <cell r="P37" t="b">
            <v>0</v>
          </cell>
          <cell r="Q37">
            <v>0</v>
          </cell>
          <cell r="R37">
            <v>12</v>
          </cell>
          <cell r="S37">
            <v>1320</v>
          </cell>
          <cell r="U37">
            <v>28660</v>
          </cell>
          <cell r="V37">
            <v>18</v>
          </cell>
          <cell r="W37">
            <v>0</v>
          </cell>
          <cell r="X37">
            <v>1</v>
          </cell>
          <cell r="Y37">
            <v>2</v>
          </cell>
          <cell r="Z37">
            <v>28660</v>
          </cell>
          <cell r="AA37">
            <v>0</v>
          </cell>
          <cell r="AB37">
            <v>0</v>
          </cell>
          <cell r="AC37">
            <v>8580</v>
          </cell>
          <cell r="AD37">
            <v>6693.333333333333</v>
          </cell>
          <cell r="AE37">
            <v>6693.3333333333339</v>
          </cell>
          <cell r="AF37">
            <v>6693.3333333333339</v>
          </cell>
          <cell r="AG37">
            <v>0</v>
          </cell>
          <cell r="AK37">
            <v>34320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V37" t="e">
            <v>#REF!</v>
          </cell>
          <cell r="AW37" t="e">
            <v>#REF!</v>
          </cell>
          <cell r="AX37" t="e">
            <v>#REF!</v>
          </cell>
          <cell r="AY37" t="e">
            <v>#REF!</v>
          </cell>
          <cell r="AZ37" t="e">
            <v>#REF!</v>
          </cell>
          <cell r="BA37" t="e">
            <v>#REF!</v>
          </cell>
          <cell r="BB37" t="e">
            <v>#REF!</v>
          </cell>
          <cell r="BC37" t="e">
            <v>#REF!</v>
          </cell>
          <cell r="BD37">
            <v>0</v>
          </cell>
          <cell r="BG37">
            <v>34000</v>
          </cell>
          <cell r="BH37">
            <v>5340</v>
          </cell>
          <cell r="BI37">
            <v>0</v>
          </cell>
          <cell r="BJ37">
            <v>-21966.666666666664</v>
          </cell>
          <cell r="BK37">
            <v>0</v>
          </cell>
          <cell r="BL37">
            <v>72257</v>
          </cell>
          <cell r="BM37" t="e">
            <v>#N/A</v>
          </cell>
          <cell r="BN37">
            <v>57195</v>
          </cell>
          <cell r="BP37">
            <v>34320</v>
          </cell>
        </row>
        <row r="38">
          <cell r="C38">
            <v>3008</v>
          </cell>
          <cell r="D38" t="str">
            <v>Ecclesall CE Junior School</v>
          </cell>
          <cell r="E38">
            <v>15</v>
          </cell>
          <cell r="F38">
            <v>0</v>
          </cell>
          <cell r="G38">
            <v>0</v>
          </cell>
          <cell r="H38">
            <v>0</v>
          </cell>
          <cell r="I38">
            <v>19800</v>
          </cell>
          <cell r="J38">
            <v>0</v>
          </cell>
          <cell r="K38">
            <v>0</v>
          </cell>
          <cell r="L38">
            <v>19800</v>
          </cell>
          <cell r="M38"/>
          <cell r="N38">
            <v>0</v>
          </cell>
          <cell r="O38">
            <v>0</v>
          </cell>
          <cell r="P38" t="b">
            <v>0</v>
          </cell>
          <cell r="Q38">
            <v>0</v>
          </cell>
          <cell r="R38">
            <v>12</v>
          </cell>
          <cell r="S38">
            <v>1320</v>
          </cell>
          <cell r="U38">
            <v>19800</v>
          </cell>
          <cell r="V38">
            <v>15</v>
          </cell>
          <cell r="W38">
            <v>0</v>
          </cell>
          <cell r="X38">
            <v>0</v>
          </cell>
          <cell r="Y38">
            <v>0</v>
          </cell>
          <cell r="Z38">
            <v>19800</v>
          </cell>
          <cell r="AA38">
            <v>0</v>
          </cell>
          <cell r="AB38">
            <v>0</v>
          </cell>
          <cell r="AC38">
            <v>7590</v>
          </cell>
          <cell r="AD38">
            <v>4070</v>
          </cell>
          <cell r="AE38">
            <v>4070</v>
          </cell>
          <cell r="AF38">
            <v>4070</v>
          </cell>
          <cell r="AG38">
            <v>0</v>
          </cell>
          <cell r="AK38">
            <v>30360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V38" t="e">
            <v>#REF!</v>
          </cell>
          <cell r="AW38" t="e">
            <v>#REF!</v>
          </cell>
          <cell r="AX38" t="e">
            <v>#REF!</v>
          </cell>
          <cell r="AY38" t="e">
            <v>#REF!</v>
          </cell>
          <cell r="AZ38" t="e">
            <v>#REF!</v>
          </cell>
          <cell r="BA38" t="e">
            <v>#REF!</v>
          </cell>
          <cell r="BB38" t="e">
            <v>#REF!</v>
          </cell>
          <cell r="BC38" t="e">
            <v>#REF!</v>
          </cell>
          <cell r="BD38">
            <v>0</v>
          </cell>
          <cell r="BG38">
            <v>9660</v>
          </cell>
          <cell r="BH38">
            <v>-10140</v>
          </cell>
          <cell r="BI38">
            <v>0</v>
          </cell>
          <cell r="BJ38">
            <v>-15730</v>
          </cell>
          <cell r="BK38">
            <v>0</v>
          </cell>
          <cell r="BL38">
            <v>72261</v>
          </cell>
          <cell r="BM38" t="e">
            <v>#N/A</v>
          </cell>
          <cell r="BN38">
            <v>101655</v>
          </cell>
          <cell r="BP38">
            <v>30360</v>
          </cell>
        </row>
        <row r="39">
          <cell r="C39">
            <v>2206</v>
          </cell>
          <cell r="D39" t="str">
            <v>Ecclesall Infant School</v>
          </cell>
          <cell r="E39">
            <v>6</v>
          </cell>
          <cell r="F39">
            <v>0</v>
          </cell>
          <cell r="G39">
            <v>0</v>
          </cell>
          <cell r="H39">
            <v>4</v>
          </cell>
          <cell r="I39">
            <v>7920</v>
          </cell>
          <cell r="J39">
            <v>0</v>
          </cell>
          <cell r="K39">
            <v>9200</v>
          </cell>
          <cell r="L39">
            <v>17120</v>
          </cell>
          <cell r="M39"/>
          <cell r="N39">
            <v>0</v>
          </cell>
          <cell r="O39">
            <v>0</v>
          </cell>
          <cell r="P39" t="b">
            <v>0</v>
          </cell>
          <cell r="Q39">
            <v>0</v>
          </cell>
          <cell r="R39">
            <v>12</v>
          </cell>
          <cell r="S39">
            <v>1320</v>
          </cell>
          <cell r="U39">
            <v>17120</v>
          </cell>
          <cell r="V39">
            <v>6</v>
          </cell>
          <cell r="W39">
            <v>0</v>
          </cell>
          <cell r="X39">
            <v>0</v>
          </cell>
          <cell r="Y39">
            <v>4</v>
          </cell>
          <cell r="Z39">
            <v>17120</v>
          </cell>
          <cell r="AA39">
            <v>0</v>
          </cell>
          <cell r="AB39">
            <v>0</v>
          </cell>
          <cell r="AC39">
            <v>1980</v>
          </cell>
          <cell r="AD39">
            <v>5046.666666666667</v>
          </cell>
          <cell r="AE39">
            <v>5046.6666666666661</v>
          </cell>
          <cell r="AF39">
            <v>5046.6666666666661</v>
          </cell>
          <cell r="AG39">
            <v>0</v>
          </cell>
          <cell r="AK39">
            <v>7920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V39" t="e">
            <v>#REF!</v>
          </cell>
          <cell r="AW39" t="e">
            <v>#REF!</v>
          </cell>
          <cell r="AX39" t="e">
            <v>#REF!</v>
          </cell>
          <cell r="AY39" t="e">
            <v>#REF!</v>
          </cell>
          <cell r="AZ39" t="e">
            <v>#REF!</v>
          </cell>
          <cell r="BA39" t="e">
            <v>#REF!</v>
          </cell>
          <cell r="BB39" t="e">
            <v>#REF!</v>
          </cell>
          <cell r="BC39" t="e">
            <v>#REF!</v>
          </cell>
          <cell r="BD39">
            <v>0</v>
          </cell>
          <cell r="BG39">
            <v>147060</v>
          </cell>
          <cell r="BH39">
            <v>129940</v>
          </cell>
          <cell r="BI39">
            <v>0</v>
          </cell>
          <cell r="BJ39">
            <v>-12073.333333333332</v>
          </cell>
          <cell r="BK39">
            <v>0</v>
          </cell>
          <cell r="BL39">
            <v>72272</v>
          </cell>
          <cell r="BM39" t="e">
            <v>#N/A</v>
          </cell>
          <cell r="BN39">
            <v>81180</v>
          </cell>
          <cell r="BP39">
            <v>7920</v>
          </cell>
        </row>
        <row r="40">
          <cell r="C40">
            <v>2080</v>
          </cell>
          <cell r="D40" t="str">
            <v>Ecclesfield Primary School</v>
          </cell>
          <cell r="E40">
            <v>85</v>
          </cell>
          <cell r="F40">
            <v>0</v>
          </cell>
          <cell r="G40">
            <v>3</v>
          </cell>
          <cell r="H40">
            <v>9</v>
          </cell>
          <cell r="I40">
            <v>112200</v>
          </cell>
          <cell r="J40">
            <v>900</v>
          </cell>
          <cell r="K40">
            <v>20700</v>
          </cell>
          <cell r="L40">
            <v>133800</v>
          </cell>
          <cell r="M40"/>
          <cell r="N40">
            <v>0</v>
          </cell>
          <cell r="O40">
            <v>0</v>
          </cell>
          <cell r="P40" t="b">
            <v>0</v>
          </cell>
          <cell r="Q40">
            <v>0</v>
          </cell>
          <cell r="R40">
            <v>12</v>
          </cell>
          <cell r="S40">
            <v>1320</v>
          </cell>
          <cell r="U40">
            <v>133800</v>
          </cell>
          <cell r="V40">
            <v>85</v>
          </cell>
          <cell r="W40">
            <v>0</v>
          </cell>
          <cell r="X40">
            <v>3</v>
          </cell>
          <cell r="Y40">
            <v>9</v>
          </cell>
          <cell r="Z40">
            <v>133800</v>
          </cell>
          <cell r="AA40">
            <v>0</v>
          </cell>
          <cell r="AB40">
            <v>0</v>
          </cell>
          <cell r="AC40">
            <v>33660</v>
          </cell>
          <cell r="AD40">
            <v>33380</v>
          </cell>
          <cell r="AE40">
            <v>33380</v>
          </cell>
          <cell r="AF40">
            <v>33380</v>
          </cell>
          <cell r="AG40">
            <v>0</v>
          </cell>
          <cell r="AK40">
            <v>134640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  <cell r="AQ40" t="e">
            <v>#REF!</v>
          </cell>
          <cell r="AR40" t="e">
            <v>#REF!</v>
          </cell>
          <cell r="AS40" t="e">
            <v>#REF!</v>
          </cell>
          <cell r="AT40" t="e">
            <v>#REF!</v>
          </cell>
          <cell r="AV40" t="e">
            <v>#REF!</v>
          </cell>
          <cell r="AW40" t="e">
            <v>#REF!</v>
          </cell>
          <cell r="AX40" t="e">
            <v>#REF!</v>
          </cell>
          <cell r="AY40" t="e">
            <v>#REF!</v>
          </cell>
          <cell r="AZ40" t="e">
            <v>#REF!</v>
          </cell>
          <cell r="BA40" t="e">
            <v>#REF!</v>
          </cell>
          <cell r="BB40" t="e">
            <v>#REF!</v>
          </cell>
          <cell r="BC40" t="e">
            <v>#REF!</v>
          </cell>
          <cell r="BD40">
            <v>0</v>
          </cell>
          <cell r="BG40">
            <v>0</v>
          </cell>
          <cell r="BH40">
            <v>-133800</v>
          </cell>
          <cell r="BI40">
            <v>0</v>
          </cell>
          <cell r="BJ40">
            <v>-100420</v>
          </cell>
          <cell r="BK40">
            <v>0</v>
          </cell>
          <cell r="BL40">
            <v>72279</v>
          </cell>
          <cell r="BM40" t="e">
            <v>#N/A</v>
          </cell>
          <cell r="BN40">
            <v>31905</v>
          </cell>
          <cell r="BP40">
            <v>134640</v>
          </cell>
        </row>
        <row r="41">
          <cell r="C41">
            <v>2024</v>
          </cell>
          <cell r="D41" t="str">
            <v>Emmanuel Junior School (Anglican Methodist Aided)</v>
          </cell>
          <cell r="E41">
            <v>66</v>
          </cell>
          <cell r="F41">
            <v>0</v>
          </cell>
          <cell r="G41">
            <v>1</v>
          </cell>
          <cell r="H41">
            <v>2</v>
          </cell>
          <cell r="I41">
            <v>87120</v>
          </cell>
          <cell r="J41">
            <v>300</v>
          </cell>
          <cell r="K41">
            <v>4600</v>
          </cell>
          <cell r="L41">
            <v>92020</v>
          </cell>
          <cell r="M41"/>
          <cell r="N41" t="str">
            <v>Recoupment Academy</v>
          </cell>
          <cell r="O41">
            <v>0</v>
          </cell>
          <cell r="P41" t="b">
            <v>1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66</v>
          </cell>
          <cell r="W41">
            <v>0</v>
          </cell>
          <cell r="X41">
            <v>1</v>
          </cell>
          <cell r="Y41">
            <v>2</v>
          </cell>
          <cell r="Z41">
            <v>0</v>
          </cell>
          <cell r="AA41">
            <v>0</v>
          </cell>
          <cell r="AB41" t="e">
            <v>#N/A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K41">
            <v>0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  <cell r="AQ41" t="e">
            <v>#REF!</v>
          </cell>
          <cell r="AR41" t="e">
            <v>#REF!</v>
          </cell>
          <cell r="AS41" t="e">
            <v>#REF!</v>
          </cell>
          <cell r="AT41" t="e">
            <v>#REF!</v>
          </cell>
          <cell r="AV41" t="e">
            <v>#REF!</v>
          </cell>
          <cell r="AW41" t="e">
            <v>#REF!</v>
          </cell>
          <cell r="AX41" t="e">
            <v>#REF!</v>
          </cell>
          <cell r="AY41" t="e">
            <v>#REF!</v>
          </cell>
          <cell r="AZ41" t="e">
            <v>#REF!</v>
          </cell>
          <cell r="BA41" t="e">
            <v>#REF!</v>
          </cell>
          <cell r="BB41" t="e">
            <v>#REF!</v>
          </cell>
          <cell r="BC41" t="e">
            <v>#REF!</v>
          </cell>
          <cell r="BD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72281</v>
          </cell>
          <cell r="BM41" t="e">
            <v>#N/A</v>
          </cell>
          <cell r="BN41">
            <v>52470</v>
          </cell>
          <cell r="BP41">
            <v>87120</v>
          </cell>
        </row>
        <row r="42">
          <cell r="C42">
            <v>2028</v>
          </cell>
          <cell r="D42" t="str">
            <v>Emmaus Catholic and Church of England Primary School</v>
          </cell>
          <cell r="E42">
            <v>130</v>
          </cell>
          <cell r="F42">
            <v>0</v>
          </cell>
          <cell r="G42">
            <v>0</v>
          </cell>
          <cell r="H42">
            <v>1</v>
          </cell>
          <cell r="I42">
            <v>171600</v>
          </cell>
          <cell r="J42">
            <v>0</v>
          </cell>
          <cell r="K42">
            <v>2300</v>
          </cell>
          <cell r="L42">
            <v>173900</v>
          </cell>
          <cell r="M42"/>
          <cell r="N42" t="str">
            <v>Recoupment Academy</v>
          </cell>
          <cell r="O42">
            <v>0</v>
          </cell>
          <cell r="P42" t="b">
            <v>1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130</v>
          </cell>
          <cell r="W42">
            <v>0</v>
          </cell>
          <cell r="X42">
            <v>0</v>
          </cell>
          <cell r="Y42">
            <v>1</v>
          </cell>
          <cell r="Z42">
            <v>0</v>
          </cell>
          <cell r="AA42">
            <v>0</v>
          </cell>
          <cell r="AB42" t="e">
            <v>#N/A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K42">
            <v>0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  <cell r="AQ42" t="e">
            <v>#REF!</v>
          </cell>
          <cell r="AR42" t="e">
            <v>#REF!</v>
          </cell>
          <cell r="AS42" t="e">
            <v>#REF!</v>
          </cell>
          <cell r="AT42" t="e">
            <v>#REF!</v>
          </cell>
          <cell r="AV42" t="e">
            <v>#REF!</v>
          </cell>
          <cell r="AW42" t="e">
            <v>#REF!</v>
          </cell>
          <cell r="AX42" t="e">
            <v>#REF!</v>
          </cell>
          <cell r="AY42" t="e">
            <v>#REF!</v>
          </cell>
          <cell r="AZ42" t="e">
            <v>#REF!</v>
          </cell>
          <cell r="BA42" t="e">
            <v>#REF!</v>
          </cell>
          <cell r="BB42" t="e">
            <v>#REF!</v>
          </cell>
          <cell r="BC42" t="e">
            <v>#REF!</v>
          </cell>
          <cell r="BD42">
            <v>0</v>
          </cell>
          <cell r="BG42">
            <v>83600</v>
          </cell>
          <cell r="BH42">
            <v>83600</v>
          </cell>
          <cell r="BI42">
            <v>0</v>
          </cell>
          <cell r="BJ42">
            <v>0</v>
          </cell>
          <cell r="BK42">
            <v>0</v>
          </cell>
          <cell r="BL42">
            <v>72283</v>
          </cell>
          <cell r="BM42" t="e">
            <v>#N/A</v>
          </cell>
          <cell r="BN42">
            <v>12855</v>
          </cell>
          <cell r="BP42">
            <v>174240</v>
          </cell>
        </row>
        <row r="43">
          <cell r="C43">
            <v>2330</v>
          </cell>
          <cell r="D43" t="str">
            <v>Fox Hill Primary School</v>
          </cell>
          <cell r="E43">
            <v>136</v>
          </cell>
          <cell r="F43">
            <v>0</v>
          </cell>
          <cell r="G43">
            <v>0</v>
          </cell>
          <cell r="H43">
            <v>3</v>
          </cell>
          <cell r="I43">
            <v>179520</v>
          </cell>
          <cell r="J43">
            <v>0</v>
          </cell>
          <cell r="K43">
            <v>6900</v>
          </cell>
          <cell r="L43">
            <v>186420</v>
          </cell>
          <cell r="M43"/>
          <cell r="N43" t="str">
            <v>Recoupment Academy</v>
          </cell>
          <cell r="O43">
            <v>0</v>
          </cell>
          <cell r="P43" t="b">
            <v>1</v>
          </cell>
          <cell r="Q43">
            <v>0</v>
          </cell>
          <cell r="R43">
            <v>0</v>
          </cell>
          <cell r="S43">
            <v>0</v>
          </cell>
          <cell r="U43">
            <v>0</v>
          </cell>
          <cell r="V43">
            <v>135</v>
          </cell>
          <cell r="W43">
            <v>0</v>
          </cell>
          <cell r="X43">
            <v>0</v>
          </cell>
          <cell r="Y43">
            <v>3</v>
          </cell>
          <cell r="Z43">
            <v>0</v>
          </cell>
          <cell r="AA43">
            <v>0</v>
          </cell>
          <cell r="AB43">
            <v>0</v>
          </cell>
          <cell r="AC43"/>
          <cell r="AD43"/>
          <cell r="AE43">
            <v>0</v>
          </cell>
          <cell r="AF43">
            <v>0</v>
          </cell>
          <cell r="AG43">
            <v>0</v>
          </cell>
          <cell r="AK43">
            <v>0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  <cell r="AQ43" t="e">
            <v>#REF!</v>
          </cell>
          <cell r="AR43" t="e">
            <v>#REF!</v>
          </cell>
          <cell r="AS43" t="e">
            <v>#REF!</v>
          </cell>
          <cell r="AT43" t="e">
            <v>#REF!</v>
          </cell>
          <cell r="AV43" t="e">
            <v>#REF!</v>
          </cell>
          <cell r="AW43" t="e">
            <v>#REF!</v>
          </cell>
          <cell r="AX43" t="e">
            <v>#REF!</v>
          </cell>
          <cell r="AY43" t="e">
            <v>#REF!</v>
          </cell>
          <cell r="AZ43" t="e">
            <v>#REF!</v>
          </cell>
          <cell r="BA43" t="e">
            <v>#REF!</v>
          </cell>
          <cell r="BB43" t="e">
            <v>#REF!</v>
          </cell>
          <cell r="BC43" t="e">
            <v>#REF!</v>
          </cell>
          <cell r="BD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72292</v>
          </cell>
          <cell r="BM43" t="e">
            <v>#N/A</v>
          </cell>
          <cell r="BN43">
            <v>15600</v>
          </cell>
          <cell r="BP43">
            <v>186120</v>
          </cell>
        </row>
        <row r="44">
          <cell r="C44">
            <v>2036</v>
          </cell>
          <cell r="D44" t="str">
            <v>Gleadless Primary School</v>
          </cell>
          <cell r="E44">
            <v>110</v>
          </cell>
          <cell r="F44">
            <v>0</v>
          </cell>
          <cell r="G44">
            <v>0</v>
          </cell>
          <cell r="H44">
            <v>0</v>
          </cell>
          <cell r="I44">
            <v>145200</v>
          </cell>
          <cell r="J44">
            <v>0</v>
          </cell>
          <cell r="K44">
            <v>0</v>
          </cell>
          <cell r="L44">
            <v>145200</v>
          </cell>
          <cell r="M44"/>
          <cell r="N44">
            <v>0</v>
          </cell>
          <cell r="O44">
            <v>0</v>
          </cell>
          <cell r="P44" t="b">
            <v>0</v>
          </cell>
          <cell r="Q44">
            <v>0</v>
          </cell>
          <cell r="R44">
            <v>12</v>
          </cell>
          <cell r="S44">
            <v>1320</v>
          </cell>
          <cell r="U44">
            <v>145200</v>
          </cell>
          <cell r="V44">
            <v>109</v>
          </cell>
          <cell r="W44">
            <v>0</v>
          </cell>
          <cell r="X44">
            <v>0</v>
          </cell>
          <cell r="Y44">
            <v>0</v>
          </cell>
          <cell r="Z44">
            <v>143880</v>
          </cell>
          <cell r="AA44">
            <v>-1320</v>
          </cell>
          <cell r="AB44">
            <v>-1320</v>
          </cell>
          <cell r="AC44">
            <v>31680</v>
          </cell>
          <cell r="AD44">
            <v>37840</v>
          </cell>
          <cell r="AE44">
            <v>37180</v>
          </cell>
          <cell r="AF44">
            <v>37180</v>
          </cell>
          <cell r="AG44">
            <v>0</v>
          </cell>
          <cell r="AK44">
            <v>126720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AY44" t="e">
            <v>#REF!</v>
          </cell>
          <cell r="AZ44" t="e">
            <v>#REF!</v>
          </cell>
          <cell r="BA44" t="e">
            <v>#REF!</v>
          </cell>
          <cell r="BB44" t="e">
            <v>#REF!</v>
          </cell>
          <cell r="BC44" t="e">
            <v>#REF!</v>
          </cell>
          <cell r="BD44">
            <v>-1320</v>
          </cell>
          <cell r="BG44">
            <v>96360</v>
          </cell>
          <cell r="BH44">
            <v>-48840</v>
          </cell>
          <cell r="BI44">
            <v>0</v>
          </cell>
          <cell r="BJ44">
            <v>-106700</v>
          </cell>
          <cell r="BK44">
            <v>0</v>
          </cell>
          <cell r="BL44">
            <v>72294</v>
          </cell>
          <cell r="BM44" t="e">
            <v>#N/A</v>
          </cell>
          <cell r="BN44">
            <v>22095</v>
          </cell>
          <cell r="BP44">
            <v>126720</v>
          </cell>
        </row>
        <row r="45">
          <cell r="C45">
            <v>2305</v>
          </cell>
          <cell r="D45" t="str">
            <v>Greengate Lane Academy</v>
          </cell>
          <cell r="E45">
            <v>82</v>
          </cell>
          <cell r="F45">
            <v>0</v>
          </cell>
          <cell r="G45">
            <v>2</v>
          </cell>
          <cell r="H45">
            <v>1</v>
          </cell>
          <cell r="I45">
            <v>108240</v>
          </cell>
          <cell r="J45">
            <v>600</v>
          </cell>
          <cell r="K45">
            <v>2300</v>
          </cell>
          <cell r="L45">
            <v>111140</v>
          </cell>
          <cell r="M45"/>
          <cell r="N45" t="str">
            <v>Recoupment Academy</v>
          </cell>
          <cell r="O45">
            <v>0</v>
          </cell>
          <cell r="P45" t="b">
            <v>1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V45">
            <v>82</v>
          </cell>
          <cell r="W45">
            <v>0</v>
          </cell>
          <cell r="X45">
            <v>2</v>
          </cell>
          <cell r="Y45">
            <v>1</v>
          </cell>
          <cell r="Z45">
            <v>0</v>
          </cell>
          <cell r="AA45">
            <v>0</v>
          </cell>
          <cell r="AB45" t="e">
            <v>#N/A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K45">
            <v>0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  <cell r="AQ45" t="e">
            <v>#REF!</v>
          </cell>
          <cell r="AR45" t="e">
            <v>#REF!</v>
          </cell>
          <cell r="AS45" t="e">
            <v>#REF!</v>
          </cell>
          <cell r="AT45" t="e">
            <v>#REF!</v>
          </cell>
          <cell r="AV45" t="e">
            <v>#REF!</v>
          </cell>
          <cell r="AW45" t="e">
            <v>#REF!</v>
          </cell>
          <cell r="AX45" t="e">
            <v>#REF!</v>
          </cell>
          <cell r="AY45" t="e">
            <v>#REF!</v>
          </cell>
          <cell r="AZ45" t="e">
            <v>#REF!</v>
          </cell>
          <cell r="BA45" t="e">
            <v>#REF!</v>
          </cell>
          <cell r="BB45" t="e">
            <v>#REF!</v>
          </cell>
          <cell r="BC45" t="e">
            <v>#REF!</v>
          </cell>
          <cell r="BD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72296</v>
          </cell>
          <cell r="BM45" t="e">
            <v>#N/A</v>
          </cell>
          <cell r="BN45">
            <v>49935</v>
          </cell>
          <cell r="BP45">
            <v>106920</v>
          </cell>
        </row>
        <row r="46">
          <cell r="C46">
            <v>2341</v>
          </cell>
          <cell r="D46" t="str">
            <v>Greenhill Primary School</v>
          </cell>
          <cell r="E46">
            <v>111</v>
          </cell>
          <cell r="F46">
            <v>0</v>
          </cell>
          <cell r="G46">
            <v>1</v>
          </cell>
          <cell r="H46">
            <v>6</v>
          </cell>
          <cell r="I46">
            <v>146520</v>
          </cell>
          <cell r="J46">
            <v>300</v>
          </cell>
          <cell r="K46">
            <v>13800</v>
          </cell>
          <cell r="L46">
            <v>160620</v>
          </cell>
          <cell r="M46"/>
          <cell r="N46" t="str">
            <v>Recoupment Academy</v>
          </cell>
          <cell r="O46">
            <v>0</v>
          </cell>
          <cell r="P46" t="b">
            <v>1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111</v>
          </cell>
          <cell r="W46">
            <v>0</v>
          </cell>
          <cell r="X46">
            <v>1</v>
          </cell>
          <cell r="Y46">
            <v>6</v>
          </cell>
          <cell r="Z46">
            <v>0</v>
          </cell>
          <cell r="AA46">
            <v>0</v>
          </cell>
          <cell r="AB46" t="e">
            <v>#N/A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K46">
            <v>0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AY46" t="e">
            <v>#REF!</v>
          </cell>
          <cell r="AZ46" t="e">
            <v>#REF!</v>
          </cell>
          <cell r="BA46" t="e">
            <v>#REF!</v>
          </cell>
          <cell r="BB46" t="e">
            <v>#REF!</v>
          </cell>
          <cell r="BC46" t="e">
            <v>#REF!</v>
          </cell>
          <cell r="BD46">
            <v>0</v>
          </cell>
          <cell r="BG46">
            <v>151740</v>
          </cell>
          <cell r="BH46">
            <v>151740</v>
          </cell>
          <cell r="BI46">
            <v>0</v>
          </cell>
          <cell r="BJ46">
            <v>0</v>
          </cell>
          <cell r="BK46">
            <v>0</v>
          </cell>
          <cell r="BL46">
            <v>72297</v>
          </cell>
          <cell r="BM46" t="e">
            <v>#N/A</v>
          </cell>
          <cell r="BN46">
            <v>23085</v>
          </cell>
          <cell r="BP46">
            <v>147840</v>
          </cell>
        </row>
        <row r="47">
          <cell r="C47">
            <v>2296</v>
          </cell>
          <cell r="D47" t="str">
            <v>Grenoside Primary School</v>
          </cell>
          <cell r="E47">
            <v>60</v>
          </cell>
          <cell r="F47">
            <v>0</v>
          </cell>
          <cell r="G47">
            <v>1</v>
          </cell>
          <cell r="H47">
            <v>1</v>
          </cell>
          <cell r="I47">
            <v>79200</v>
          </cell>
          <cell r="J47">
            <v>300</v>
          </cell>
          <cell r="K47">
            <v>2300</v>
          </cell>
          <cell r="L47">
            <v>81800</v>
          </cell>
          <cell r="M47"/>
          <cell r="N47">
            <v>0</v>
          </cell>
          <cell r="O47">
            <v>0</v>
          </cell>
          <cell r="P47" t="b">
            <v>0</v>
          </cell>
          <cell r="Q47">
            <v>0</v>
          </cell>
          <cell r="R47">
            <v>12</v>
          </cell>
          <cell r="S47">
            <v>1320</v>
          </cell>
          <cell r="U47">
            <v>81800</v>
          </cell>
          <cell r="V47">
            <v>60</v>
          </cell>
          <cell r="W47">
            <v>0</v>
          </cell>
          <cell r="X47">
            <v>1</v>
          </cell>
          <cell r="Y47">
            <v>1</v>
          </cell>
          <cell r="Z47">
            <v>81800</v>
          </cell>
          <cell r="AA47">
            <v>0</v>
          </cell>
          <cell r="AB47">
            <v>0</v>
          </cell>
          <cell r="AC47">
            <v>20295</v>
          </cell>
          <cell r="AD47">
            <v>20501.666666666668</v>
          </cell>
          <cell r="AE47">
            <v>20501.666666666664</v>
          </cell>
          <cell r="AF47">
            <v>20501.666666666664</v>
          </cell>
          <cell r="AG47">
            <v>0</v>
          </cell>
          <cell r="AK47">
            <v>81180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AY47" t="e">
            <v>#REF!</v>
          </cell>
          <cell r="AZ47" t="e">
            <v>#REF!</v>
          </cell>
          <cell r="BA47" t="e">
            <v>#REF!</v>
          </cell>
          <cell r="BB47" t="e">
            <v>#REF!</v>
          </cell>
          <cell r="BC47" t="e">
            <v>#REF!</v>
          </cell>
          <cell r="BD47">
            <v>0</v>
          </cell>
          <cell r="BG47">
            <v>0</v>
          </cell>
          <cell r="BH47">
            <v>-81800</v>
          </cell>
          <cell r="BI47">
            <v>0</v>
          </cell>
          <cell r="BJ47">
            <v>-61298.333333333336</v>
          </cell>
          <cell r="BK47">
            <v>0</v>
          </cell>
          <cell r="BL47">
            <v>72302</v>
          </cell>
          <cell r="BM47" t="e">
            <v>#N/A</v>
          </cell>
          <cell r="BN47">
            <v>44775</v>
          </cell>
          <cell r="BP47">
            <v>81180</v>
          </cell>
        </row>
        <row r="48">
          <cell r="C48">
            <v>2356</v>
          </cell>
          <cell r="D48" t="str">
            <v>GREYSTONES PRIMARY SCHOOL</v>
          </cell>
          <cell r="E48">
            <v>33</v>
          </cell>
          <cell r="F48">
            <v>0</v>
          </cell>
          <cell r="G48">
            <v>0</v>
          </cell>
          <cell r="H48">
            <v>9</v>
          </cell>
          <cell r="I48">
            <v>43560</v>
          </cell>
          <cell r="J48">
            <v>0</v>
          </cell>
          <cell r="K48">
            <v>20700</v>
          </cell>
          <cell r="L48">
            <v>64260</v>
          </cell>
          <cell r="M48"/>
          <cell r="N48">
            <v>0</v>
          </cell>
          <cell r="O48">
            <v>0</v>
          </cell>
          <cell r="P48" t="b">
            <v>0</v>
          </cell>
          <cell r="Q48">
            <v>0</v>
          </cell>
          <cell r="R48">
            <v>12</v>
          </cell>
          <cell r="S48">
            <v>1320</v>
          </cell>
          <cell r="U48">
            <v>64260</v>
          </cell>
          <cell r="V48">
            <v>33</v>
          </cell>
          <cell r="W48">
            <v>0</v>
          </cell>
          <cell r="X48">
            <v>0</v>
          </cell>
          <cell r="Y48">
            <v>9</v>
          </cell>
          <cell r="Z48">
            <v>64260</v>
          </cell>
          <cell r="AA48">
            <v>0</v>
          </cell>
          <cell r="AB48">
            <v>0</v>
          </cell>
          <cell r="AC48">
            <v>9240</v>
          </cell>
          <cell r="AD48">
            <v>18340</v>
          </cell>
          <cell r="AE48">
            <v>18340</v>
          </cell>
          <cell r="AF48">
            <v>18340</v>
          </cell>
          <cell r="AG48">
            <v>0</v>
          </cell>
          <cell r="AK48">
            <v>36960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  <cell r="AR48" t="e">
            <v>#REF!</v>
          </cell>
          <cell r="AS48" t="e">
            <v>#REF!</v>
          </cell>
          <cell r="AT48" t="e">
            <v>#REF!</v>
          </cell>
          <cell r="AV48" t="e">
            <v>#REF!</v>
          </cell>
          <cell r="AW48" t="e">
            <v>#REF!</v>
          </cell>
          <cell r="AX48" t="e">
            <v>#REF!</v>
          </cell>
          <cell r="AY48" t="e">
            <v>#REF!</v>
          </cell>
          <cell r="AZ48" t="e">
            <v>#REF!</v>
          </cell>
          <cell r="BA48" t="e">
            <v>#REF!</v>
          </cell>
          <cell r="BB48" t="e">
            <v>#REF!</v>
          </cell>
          <cell r="BC48" t="e">
            <v>#REF!</v>
          </cell>
          <cell r="BD48">
            <v>0</v>
          </cell>
          <cell r="BG48">
            <v>0</v>
          </cell>
          <cell r="BH48">
            <v>-64260</v>
          </cell>
          <cell r="BI48">
            <v>0</v>
          </cell>
          <cell r="BJ48">
            <v>-45920</v>
          </cell>
          <cell r="BK48">
            <v>0</v>
          </cell>
          <cell r="BL48">
            <v>72303</v>
          </cell>
          <cell r="BM48" t="e">
            <v>#N/A</v>
          </cell>
          <cell r="BN48">
            <v>86355</v>
          </cell>
          <cell r="BP48">
            <v>36960</v>
          </cell>
        </row>
        <row r="49">
          <cell r="C49">
            <v>2279</v>
          </cell>
          <cell r="D49" t="str">
            <v>Halfway Junior School</v>
          </cell>
          <cell r="E49">
            <v>41</v>
          </cell>
          <cell r="F49">
            <v>0</v>
          </cell>
          <cell r="G49">
            <v>3</v>
          </cell>
          <cell r="H49">
            <v>0</v>
          </cell>
          <cell r="I49">
            <v>54120</v>
          </cell>
          <cell r="J49">
            <v>900</v>
          </cell>
          <cell r="K49">
            <v>0</v>
          </cell>
          <cell r="L49">
            <v>55020</v>
          </cell>
          <cell r="M49"/>
          <cell r="N49">
            <v>0</v>
          </cell>
          <cell r="O49">
            <v>0</v>
          </cell>
          <cell r="P49" t="b">
            <v>0</v>
          </cell>
          <cell r="Q49">
            <v>0</v>
          </cell>
          <cell r="R49">
            <v>12</v>
          </cell>
          <cell r="S49">
            <v>1320</v>
          </cell>
          <cell r="U49">
            <v>55020</v>
          </cell>
          <cell r="V49">
            <v>41</v>
          </cell>
          <cell r="W49">
            <v>0</v>
          </cell>
          <cell r="X49">
            <v>3</v>
          </cell>
          <cell r="Y49">
            <v>0</v>
          </cell>
          <cell r="Z49">
            <v>55020</v>
          </cell>
          <cell r="AA49">
            <v>0</v>
          </cell>
          <cell r="AB49">
            <v>0</v>
          </cell>
          <cell r="AC49">
            <v>11550</v>
          </cell>
          <cell r="AD49">
            <v>14490</v>
          </cell>
          <cell r="AE49">
            <v>14490</v>
          </cell>
          <cell r="AF49">
            <v>14490</v>
          </cell>
          <cell r="AG49">
            <v>0</v>
          </cell>
          <cell r="AK49">
            <v>46200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  <cell r="AQ49" t="e">
            <v>#REF!</v>
          </cell>
          <cell r="AR49" t="e">
            <v>#REF!</v>
          </cell>
          <cell r="AS49" t="e">
            <v>#REF!</v>
          </cell>
          <cell r="AT49" t="e">
            <v>#REF!</v>
          </cell>
          <cell r="AV49" t="e">
            <v>#REF!</v>
          </cell>
          <cell r="AW49" t="e">
            <v>#REF!</v>
          </cell>
          <cell r="AX49" t="e">
            <v>#REF!</v>
          </cell>
          <cell r="AY49" t="e">
            <v>#REF!</v>
          </cell>
          <cell r="AZ49" t="e">
            <v>#REF!</v>
          </cell>
          <cell r="BA49" t="e">
            <v>#REF!</v>
          </cell>
          <cell r="BB49" t="e">
            <v>#REF!</v>
          </cell>
          <cell r="BC49" t="e">
            <v>#REF!</v>
          </cell>
          <cell r="BD49">
            <v>0</v>
          </cell>
          <cell r="BG49">
            <v>66580</v>
          </cell>
          <cell r="BH49">
            <v>11560</v>
          </cell>
          <cell r="BI49">
            <v>0</v>
          </cell>
          <cell r="BJ49">
            <v>-40530</v>
          </cell>
          <cell r="BK49">
            <v>0</v>
          </cell>
          <cell r="BL49">
            <v>72306</v>
          </cell>
          <cell r="BM49" t="e">
            <v>#N/A</v>
          </cell>
          <cell r="BN49">
            <v>23760</v>
          </cell>
          <cell r="BP49">
            <v>46200</v>
          </cell>
        </row>
        <row r="50">
          <cell r="C50">
            <v>2252</v>
          </cell>
          <cell r="D50" t="str">
            <v>Halfway Nursery Infant School</v>
          </cell>
          <cell r="E50">
            <v>19</v>
          </cell>
          <cell r="F50">
            <v>0</v>
          </cell>
          <cell r="G50">
            <v>1</v>
          </cell>
          <cell r="H50">
            <v>4</v>
          </cell>
          <cell r="I50">
            <v>25080</v>
          </cell>
          <cell r="J50">
            <v>300</v>
          </cell>
          <cell r="K50">
            <v>9200</v>
          </cell>
          <cell r="L50">
            <v>34580</v>
          </cell>
          <cell r="M50"/>
          <cell r="N50">
            <v>0</v>
          </cell>
          <cell r="O50">
            <v>0</v>
          </cell>
          <cell r="P50" t="b">
            <v>0</v>
          </cell>
          <cell r="Q50">
            <v>0</v>
          </cell>
          <cell r="R50">
            <v>12</v>
          </cell>
          <cell r="S50">
            <v>1320</v>
          </cell>
          <cell r="U50">
            <v>34580</v>
          </cell>
          <cell r="V50">
            <v>19</v>
          </cell>
          <cell r="W50">
            <v>0</v>
          </cell>
          <cell r="X50">
            <v>1</v>
          </cell>
          <cell r="Y50">
            <v>4</v>
          </cell>
          <cell r="Z50">
            <v>34580</v>
          </cell>
          <cell r="AA50">
            <v>0</v>
          </cell>
          <cell r="AB50">
            <v>0</v>
          </cell>
          <cell r="AC50">
            <v>6270</v>
          </cell>
          <cell r="AD50">
            <v>9436.6666666666661</v>
          </cell>
          <cell r="AE50">
            <v>9436.6666666666679</v>
          </cell>
          <cell r="AF50">
            <v>9436.6666666666679</v>
          </cell>
          <cell r="AG50">
            <v>0</v>
          </cell>
          <cell r="AK50">
            <v>25080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  <cell r="AQ50" t="e">
            <v>#REF!</v>
          </cell>
          <cell r="AR50" t="e">
            <v>#REF!</v>
          </cell>
          <cell r="AS50" t="e">
            <v>#REF!</v>
          </cell>
          <cell r="AT50" t="e">
            <v>#REF!</v>
          </cell>
          <cell r="AV50" t="e">
            <v>#REF!</v>
          </cell>
          <cell r="AW50" t="e">
            <v>#REF!</v>
          </cell>
          <cell r="AX50" t="e">
            <v>#REF!</v>
          </cell>
          <cell r="AY50" t="e">
            <v>#REF!</v>
          </cell>
          <cell r="AZ50" t="e">
            <v>#REF!</v>
          </cell>
          <cell r="BA50" t="e">
            <v>#REF!</v>
          </cell>
          <cell r="BB50" t="e">
            <v>#REF!</v>
          </cell>
          <cell r="BC50" t="e">
            <v>#REF!</v>
          </cell>
          <cell r="BD50">
            <v>0</v>
          </cell>
          <cell r="BG50">
            <v>52900</v>
          </cell>
          <cell r="BH50">
            <v>18320</v>
          </cell>
          <cell r="BI50">
            <v>0</v>
          </cell>
          <cell r="BJ50">
            <v>-25143.333333333336</v>
          </cell>
          <cell r="BK50">
            <v>0</v>
          </cell>
          <cell r="BL50">
            <v>72309</v>
          </cell>
          <cell r="BM50" t="e">
            <v>#N/A</v>
          </cell>
          <cell r="BN50">
            <v>37380</v>
          </cell>
          <cell r="BP50">
            <v>25080</v>
          </cell>
        </row>
        <row r="51">
          <cell r="C51">
            <v>2357</v>
          </cell>
          <cell r="D51" t="str">
            <v>Hallam Primary School</v>
          </cell>
          <cell r="E51">
            <v>35</v>
          </cell>
          <cell r="F51">
            <v>0</v>
          </cell>
          <cell r="G51">
            <v>0</v>
          </cell>
          <cell r="H51">
            <v>9</v>
          </cell>
          <cell r="I51">
            <v>46200</v>
          </cell>
          <cell r="J51">
            <v>0</v>
          </cell>
          <cell r="K51">
            <v>20700</v>
          </cell>
          <cell r="L51">
            <v>66900</v>
          </cell>
          <cell r="M51"/>
          <cell r="N51" t="str">
            <v>Recoupment Academy</v>
          </cell>
          <cell r="O51">
            <v>0</v>
          </cell>
          <cell r="P51" t="b">
            <v>1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35</v>
          </cell>
          <cell r="W51">
            <v>0</v>
          </cell>
          <cell r="X51">
            <v>0</v>
          </cell>
          <cell r="Y51">
            <v>9</v>
          </cell>
          <cell r="Z51">
            <v>0</v>
          </cell>
          <cell r="AA51">
            <v>0</v>
          </cell>
          <cell r="AB51" t="e">
            <v>#N/A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K51">
            <v>0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  <cell r="AQ51" t="e">
            <v>#REF!</v>
          </cell>
          <cell r="AR51" t="e">
            <v>#REF!</v>
          </cell>
          <cell r="AS51" t="e">
            <v>#REF!</v>
          </cell>
          <cell r="AT51" t="e">
            <v>#REF!</v>
          </cell>
          <cell r="AV51" t="e">
            <v>#REF!</v>
          </cell>
          <cell r="AW51" t="e">
            <v>#REF!</v>
          </cell>
          <cell r="AX51" t="e">
            <v>#REF!</v>
          </cell>
          <cell r="AY51" t="e">
            <v>#REF!</v>
          </cell>
          <cell r="AZ51" t="e">
            <v>#REF!</v>
          </cell>
          <cell r="BA51" t="e">
            <v>#REF!</v>
          </cell>
          <cell r="BB51" t="e">
            <v>#REF!</v>
          </cell>
          <cell r="BC51" t="e">
            <v>#REF!</v>
          </cell>
          <cell r="BD51">
            <v>0</v>
          </cell>
          <cell r="BG51">
            <v>42540</v>
          </cell>
          <cell r="BH51">
            <v>42540</v>
          </cell>
          <cell r="BI51">
            <v>0</v>
          </cell>
          <cell r="BJ51">
            <v>0</v>
          </cell>
          <cell r="BK51">
            <v>0</v>
          </cell>
          <cell r="BL51">
            <v>72311</v>
          </cell>
          <cell r="BM51" t="e">
            <v>#N/A</v>
          </cell>
          <cell r="BN51">
            <v>26175</v>
          </cell>
          <cell r="BP51">
            <v>50160</v>
          </cell>
        </row>
        <row r="52">
          <cell r="C52">
            <v>2050</v>
          </cell>
          <cell r="D52" t="str">
            <v>Hartley Brook Academy</v>
          </cell>
          <cell r="E52">
            <v>319</v>
          </cell>
          <cell r="F52">
            <v>0</v>
          </cell>
          <cell r="G52">
            <v>0</v>
          </cell>
          <cell r="H52">
            <v>13</v>
          </cell>
          <cell r="I52">
            <v>421080</v>
          </cell>
          <cell r="J52">
            <v>0</v>
          </cell>
          <cell r="K52">
            <v>29900</v>
          </cell>
          <cell r="L52">
            <v>450980</v>
          </cell>
          <cell r="M52"/>
          <cell r="N52" t="str">
            <v>Recoupment Academy</v>
          </cell>
          <cell r="O52">
            <v>0</v>
          </cell>
          <cell r="P52" t="b">
            <v>1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318</v>
          </cell>
          <cell r="W52">
            <v>0</v>
          </cell>
          <cell r="X52">
            <v>0</v>
          </cell>
          <cell r="Y52">
            <v>13</v>
          </cell>
          <cell r="Z52">
            <v>0</v>
          </cell>
          <cell r="AA52">
            <v>0</v>
          </cell>
          <cell r="AB52" t="e">
            <v>#N/A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K52">
            <v>0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  <cell r="AQ52" t="e">
            <v>#REF!</v>
          </cell>
          <cell r="AR52" t="e">
            <v>#REF!</v>
          </cell>
          <cell r="AS52" t="e">
            <v>#REF!</v>
          </cell>
          <cell r="AT52" t="e">
            <v>#REF!</v>
          </cell>
          <cell r="AV52" t="e">
            <v>#REF!</v>
          </cell>
          <cell r="AW52" t="e">
            <v>#REF!</v>
          </cell>
          <cell r="AX52" t="e">
            <v>#REF!</v>
          </cell>
          <cell r="AY52" t="e">
            <v>#REF!</v>
          </cell>
          <cell r="AZ52" t="e">
            <v>#REF!</v>
          </cell>
          <cell r="BA52" t="e">
            <v>#REF!</v>
          </cell>
          <cell r="BB52" t="e">
            <v>#REF!</v>
          </cell>
          <cell r="BC52" t="e">
            <v>#REF!</v>
          </cell>
          <cell r="BD52">
            <v>0</v>
          </cell>
          <cell r="BG52">
            <v>24060</v>
          </cell>
          <cell r="BH52">
            <v>24060</v>
          </cell>
          <cell r="BI52">
            <v>0</v>
          </cell>
          <cell r="BJ52">
            <v>0</v>
          </cell>
          <cell r="BK52">
            <v>0</v>
          </cell>
          <cell r="BL52">
            <v>72312</v>
          </cell>
          <cell r="BM52" t="e">
            <v>#N/A</v>
          </cell>
          <cell r="BN52">
            <v>20235</v>
          </cell>
          <cell r="BP52">
            <v>410520</v>
          </cell>
        </row>
        <row r="53">
          <cell r="C53">
            <v>2049</v>
          </cell>
          <cell r="D53" t="str">
            <v>Hatfield Primary</v>
          </cell>
          <cell r="E53">
            <v>218</v>
          </cell>
          <cell r="F53">
            <v>0</v>
          </cell>
          <cell r="G53">
            <v>0</v>
          </cell>
          <cell r="H53">
            <v>6</v>
          </cell>
          <cell r="I53">
            <v>287760</v>
          </cell>
          <cell r="J53">
            <v>0</v>
          </cell>
          <cell r="K53">
            <v>13800</v>
          </cell>
          <cell r="L53">
            <v>301560</v>
          </cell>
          <cell r="M53"/>
          <cell r="N53" t="str">
            <v>Recoupment Academy</v>
          </cell>
          <cell r="O53">
            <v>0</v>
          </cell>
          <cell r="P53" t="b">
            <v>1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215</v>
          </cell>
          <cell r="W53">
            <v>0</v>
          </cell>
          <cell r="X53">
            <v>0</v>
          </cell>
          <cell r="Y53">
            <v>6</v>
          </cell>
          <cell r="Z53">
            <v>0</v>
          </cell>
          <cell r="AA53">
            <v>0</v>
          </cell>
          <cell r="AB53" t="e">
            <v>#N/A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AY53" t="e">
            <v>#REF!</v>
          </cell>
          <cell r="AZ53" t="e">
            <v>#REF!</v>
          </cell>
          <cell r="BA53" t="e">
            <v>#REF!</v>
          </cell>
          <cell r="BB53" t="e">
            <v>#REF!</v>
          </cell>
          <cell r="BC53" t="e">
            <v>#REF!</v>
          </cell>
          <cell r="BD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72313</v>
          </cell>
          <cell r="BM53" t="e">
            <v>#N/A</v>
          </cell>
          <cell r="BN53">
            <v>28470</v>
          </cell>
          <cell r="BP53">
            <v>282480</v>
          </cell>
        </row>
        <row r="54">
          <cell r="C54">
            <v>2297</v>
          </cell>
          <cell r="D54" t="str">
            <v>High Green Primary School</v>
          </cell>
          <cell r="E54">
            <v>18</v>
          </cell>
          <cell r="F54">
            <v>0</v>
          </cell>
          <cell r="G54">
            <v>0</v>
          </cell>
          <cell r="H54">
            <v>3</v>
          </cell>
          <cell r="I54">
            <v>23760</v>
          </cell>
          <cell r="J54">
            <v>0</v>
          </cell>
          <cell r="K54">
            <v>6900</v>
          </cell>
          <cell r="L54">
            <v>30660</v>
          </cell>
          <cell r="M54"/>
          <cell r="N54">
            <v>0</v>
          </cell>
          <cell r="O54">
            <v>0</v>
          </cell>
          <cell r="P54" t="b">
            <v>0</v>
          </cell>
          <cell r="Q54">
            <v>0</v>
          </cell>
          <cell r="R54">
            <v>12</v>
          </cell>
          <cell r="S54">
            <v>1320</v>
          </cell>
          <cell r="U54">
            <v>30660</v>
          </cell>
          <cell r="V54">
            <v>18</v>
          </cell>
          <cell r="W54">
            <v>0</v>
          </cell>
          <cell r="X54">
            <v>0</v>
          </cell>
          <cell r="Y54">
            <v>3</v>
          </cell>
          <cell r="Z54">
            <v>30660</v>
          </cell>
          <cell r="AA54">
            <v>0</v>
          </cell>
          <cell r="AB54">
            <v>0</v>
          </cell>
          <cell r="AC54">
            <v>4950</v>
          </cell>
          <cell r="AD54">
            <v>8570</v>
          </cell>
          <cell r="AE54">
            <v>8570</v>
          </cell>
          <cell r="AF54">
            <v>8570</v>
          </cell>
          <cell r="AG54">
            <v>0</v>
          </cell>
          <cell r="AK54">
            <v>19800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  <cell r="AQ54" t="e">
            <v>#REF!</v>
          </cell>
          <cell r="AR54" t="e">
            <v>#REF!</v>
          </cell>
          <cell r="AS54" t="e">
            <v>#REF!</v>
          </cell>
          <cell r="AT54" t="e">
            <v>#REF!</v>
          </cell>
          <cell r="AV54" t="e">
            <v>#REF!</v>
          </cell>
          <cell r="AW54" t="e">
            <v>#REF!</v>
          </cell>
          <cell r="AX54" t="e">
            <v>#REF!</v>
          </cell>
          <cell r="AY54" t="e">
            <v>#REF!</v>
          </cell>
          <cell r="AZ54" t="e">
            <v>#REF!</v>
          </cell>
          <cell r="BA54" t="e">
            <v>#REF!</v>
          </cell>
          <cell r="BB54" t="e">
            <v>#REF!</v>
          </cell>
          <cell r="BC54" t="e">
            <v>#REF!</v>
          </cell>
          <cell r="BD54">
            <v>0</v>
          </cell>
          <cell r="BG54">
            <v>0</v>
          </cell>
          <cell r="BH54">
            <v>-30660</v>
          </cell>
          <cell r="BI54">
            <v>0</v>
          </cell>
          <cell r="BJ54">
            <v>-22090</v>
          </cell>
          <cell r="BK54">
            <v>0</v>
          </cell>
          <cell r="BL54">
            <v>72318</v>
          </cell>
          <cell r="BM54" t="e">
            <v>#N/A</v>
          </cell>
          <cell r="BN54">
            <v>121650</v>
          </cell>
          <cell r="BP54">
            <v>19800</v>
          </cell>
        </row>
        <row r="55">
          <cell r="C55">
            <v>2042</v>
          </cell>
          <cell r="D55" t="str">
            <v>High Hazels (Greenlands) Junior School</v>
          </cell>
          <cell r="E55">
            <v>145</v>
          </cell>
          <cell r="F55">
            <v>0</v>
          </cell>
          <cell r="G55">
            <v>0</v>
          </cell>
          <cell r="H55">
            <v>0</v>
          </cell>
          <cell r="I55">
            <v>191400</v>
          </cell>
          <cell r="J55">
            <v>0</v>
          </cell>
          <cell r="K55">
            <v>0</v>
          </cell>
          <cell r="L55">
            <v>191400</v>
          </cell>
          <cell r="M55"/>
          <cell r="N55" t="str">
            <v>Recoupment Academy</v>
          </cell>
          <cell r="O55">
            <v>0</v>
          </cell>
          <cell r="P55" t="b">
            <v>1</v>
          </cell>
          <cell r="Q55">
            <v>0</v>
          </cell>
          <cell r="R55">
            <v>0</v>
          </cell>
          <cell r="S55">
            <v>0</v>
          </cell>
          <cell r="U55">
            <v>0</v>
          </cell>
          <cell r="V55">
            <v>143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 t="e">
            <v>#N/A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  <cell r="AQ55" t="e">
            <v>#REF!</v>
          </cell>
          <cell r="AR55" t="e">
            <v>#REF!</v>
          </cell>
          <cell r="AS55" t="e">
            <v>#REF!</v>
          </cell>
          <cell r="AT55" t="e">
            <v>#REF!</v>
          </cell>
          <cell r="AV55" t="e">
            <v>#REF!</v>
          </cell>
          <cell r="AW55" t="e">
            <v>#REF!</v>
          </cell>
          <cell r="AX55" t="e">
            <v>#REF!</v>
          </cell>
          <cell r="AY55" t="e">
            <v>#REF!</v>
          </cell>
          <cell r="AZ55" t="e">
            <v>#REF!</v>
          </cell>
          <cell r="BA55" t="e">
            <v>#REF!</v>
          </cell>
          <cell r="BB55" t="e">
            <v>#REF!</v>
          </cell>
          <cell r="BC55" t="e">
            <v>#REF!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72319</v>
          </cell>
          <cell r="BM55" t="e">
            <v>#N/A</v>
          </cell>
          <cell r="BN55">
            <v>44985</v>
          </cell>
          <cell r="BP55">
            <v>198000</v>
          </cell>
        </row>
        <row r="56">
          <cell r="C56">
            <v>2039</v>
          </cell>
          <cell r="D56" t="str">
            <v>High Hazels (Greenlands) Nursery Infants</v>
          </cell>
          <cell r="E56">
            <v>63</v>
          </cell>
          <cell r="F56">
            <v>0</v>
          </cell>
          <cell r="G56">
            <v>0</v>
          </cell>
          <cell r="H56">
            <v>0</v>
          </cell>
          <cell r="I56">
            <v>83160</v>
          </cell>
          <cell r="J56">
            <v>0</v>
          </cell>
          <cell r="K56">
            <v>0</v>
          </cell>
          <cell r="L56">
            <v>83160</v>
          </cell>
          <cell r="M56"/>
          <cell r="N56" t="str">
            <v>Recoupment Academy</v>
          </cell>
          <cell r="O56">
            <v>0</v>
          </cell>
          <cell r="P56" t="b">
            <v>1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63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#N/A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K56">
            <v>0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  <cell r="AQ56" t="e">
            <v>#REF!</v>
          </cell>
          <cell r="AR56" t="e">
            <v>#REF!</v>
          </cell>
          <cell r="AS56" t="e">
            <v>#REF!</v>
          </cell>
          <cell r="AT56" t="e">
            <v>#REF!</v>
          </cell>
          <cell r="AV56" t="e">
            <v>#REF!</v>
          </cell>
          <cell r="AW56" t="e">
            <v>#REF!</v>
          </cell>
          <cell r="AX56" t="e">
            <v>#REF!</v>
          </cell>
          <cell r="AY56" t="e">
            <v>#REF!</v>
          </cell>
          <cell r="AZ56" t="e">
            <v>#REF!</v>
          </cell>
          <cell r="BA56" t="e">
            <v>#REF!</v>
          </cell>
          <cell r="BB56" t="e">
            <v>#REF!</v>
          </cell>
          <cell r="BC56" t="e">
            <v>#REF!</v>
          </cell>
          <cell r="BD56">
            <v>0</v>
          </cell>
          <cell r="BG56">
            <v>30780</v>
          </cell>
          <cell r="BH56">
            <v>30780</v>
          </cell>
          <cell r="BI56">
            <v>0</v>
          </cell>
          <cell r="BJ56">
            <v>0</v>
          </cell>
          <cell r="BK56">
            <v>0</v>
          </cell>
          <cell r="BL56">
            <v>72321</v>
          </cell>
          <cell r="BM56" t="e">
            <v>#N/A</v>
          </cell>
          <cell r="BN56">
            <v>196335</v>
          </cell>
          <cell r="BP56">
            <v>89760</v>
          </cell>
        </row>
        <row r="57">
          <cell r="C57">
            <v>2339</v>
          </cell>
          <cell r="D57" t="str">
            <v>Hillsborough Primary School</v>
          </cell>
          <cell r="E57">
            <v>168</v>
          </cell>
          <cell r="F57">
            <v>0</v>
          </cell>
          <cell r="G57">
            <v>0</v>
          </cell>
          <cell r="H57">
            <v>0</v>
          </cell>
          <cell r="I57">
            <v>221760</v>
          </cell>
          <cell r="J57">
            <v>0</v>
          </cell>
          <cell r="K57">
            <v>0</v>
          </cell>
          <cell r="L57">
            <v>221760</v>
          </cell>
          <cell r="M57"/>
          <cell r="N57" t="str">
            <v>Recoupment Academy</v>
          </cell>
          <cell r="O57">
            <v>0</v>
          </cell>
          <cell r="P57" t="b">
            <v>1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164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#N/A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K57">
            <v>0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  <cell r="AQ57" t="e">
            <v>#REF!</v>
          </cell>
          <cell r="AR57" t="e">
            <v>#REF!</v>
          </cell>
          <cell r="AS57" t="e">
            <v>#REF!</v>
          </cell>
          <cell r="AT57" t="e">
            <v>#REF!</v>
          </cell>
          <cell r="AV57" t="e">
            <v>#REF!</v>
          </cell>
          <cell r="AW57" t="e">
            <v>#REF!</v>
          </cell>
          <cell r="AX57" t="e">
            <v>#REF!</v>
          </cell>
          <cell r="AY57" t="e">
            <v>#REF!</v>
          </cell>
          <cell r="AZ57" t="e">
            <v>#REF!</v>
          </cell>
          <cell r="BA57" t="e">
            <v>#REF!</v>
          </cell>
          <cell r="BB57" t="e">
            <v>#REF!</v>
          </cell>
          <cell r="BC57" t="e">
            <v>#REF!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72322</v>
          </cell>
          <cell r="BM57" t="e">
            <v>#N/A</v>
          </cell>
          <cell r="BN57">
            <v>217800</v>
          </cell>
          <cell r="BP57">
            <v>232320</v>
          </cell>
        </row>
        <row r="58">
          <cell r="C58">
            <v>2213</v>
          </cell>
          <cell r="D58" t="str">
            <v>Holt House Infant School &amp; Children's Centre</v>
          </cell>
          <cell r="E58">
            <v>20</v>
          </cell>
          <cell r="F58">
            <v>0</v>
          </cell>
          <cell r="G58">
            <v>0</v>
          </cell>
          <cell r="H58">
            <v>0</v>
          </cell>
          <cell r="I58">
            <v>26400</v>
          </cell>
          <cell r="J58">
            <v>0</v>
          </cell>
          <cell r="K58">
            <v>0</v>
          </cell>
          <cell r="L58">
            <v>26400</v>
          </cell>
          <cell r="M58"/>
          <cell r="N58">
            <v>0</v>
          </cell>
          <cell r="O58">
            <v>0</v>
          </cell>
          <cell r="P58" t="b">
            <v>0</v>
          </cell>
          <cell r="Q58">
            <v>0</v>
          </cell>
          <cell r="R58">
            <v>12</v>
          </cell>
          <cell r="S58">
            <v>1320</v>
          </cell>
          <cell r="U58">
            <v>26400</v>
          </cell>
          <cell r="V58">
            <v>20</v>
          </cell>
          <cell r="W58">
            <v>0</v>
          </cell>
          <cell r="X58">
            <v>0</v>
          </cell>
          <cell r="Y58">
            <v>0</v>
          </cell>
          <cell r="Z58">
            <v>26400</v>
          </cell>
          <cell r="AA58">
            <v>0</v>
          </cell>
          <cell r="AB58">
            <v>0</v>
          </cell>
          <cell r="AC58">
            <v>6930</v>
          </cell>
          <cell r="AD58">
            <v>6490</v>
          </cell>
          <cell r="AE58">
            <v>6490</v>
          </cell>
          <cell r="AF58">
            <v>6490</v>
          </cell>
          <cell r="AG58">
            <v>0</v>
          </cell>
          <cell r="AK58">
            <v>27720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  <cell r="AQ58" t="e">
            <v>#REF!</v>
          </cell>
          <cell r="AR58" t="e">
            <v>#REF!</v>
          </cell>
          <cell r="AS58" t="e">
            <v>#REF!</v>
          </cell>
          <cell r="AT58" t="e">
            <v>#REF!</v>
          </cell>
          <cell r="AV58" t="e">
            <v>#REF!</v>
          </cell>
          <cell r="AW58" t="e">
            <v>#REF!</v>
          </cell>
          <cell r="AX58" t="e">
            <v>#REF!</v>
          </cell>
          <cell r="AY58" t="e">
            <v>#REF!</v>
          </cell>
          <cell r="AZ58" t="e">
            <v>#REF!</v>
          </cell>
          <cell r="BA58" t="e">
            <v>#REF!</v>
          </cell>
          <cell r="BB58" t="e">
            <v>#REF!</v>
          </cell>
          <cell r="BC58" t="e">
            <v>#REF!</v>
          </cell>
          <cell r="BD58">
            <v>0</v>
          </cell>
          <cell r="BG58">
            <v>23020</v>
          </cell>
          <cell r="BH58">
            <v>-3380</v>
          </cell>
          <cell r="BI58">
            <v>0</v>
          </cell>
          <cell r="BJ58">
            <v>-19910</v>
          </cell>
          <cell r="BK58">
            <v>0</v>
          </cell>
          <cell r="BL58">
            <v>72323</v>
          </cell>
          <cell r="BM58" t="e">
            <v>#N/A</v>
          </cell>
          <cell r="BN58">
            <v>141080</v>
          </cell>
          <cell r="BP58">
            <v>27720</v>
          </cell>
        </row>
        <row r="59">
          <cell r="C59">
            <v>2337</v>
          </cell>
          <cell r="D59" t="str">
            <v>Hucklow Primary School</v>
          </cell>
          <cell r="E59">
            <v>166</v>
          </cell>
          <cell r="F59">
            <v>0</v>
          </cell>
          <cell r="G59">
            <v>0</v>
          </cell>
          <cell r="H59">
            <v>1</v>
          </cell>
          <cell r="I59">
            <v>219120</v>
          </cell>
          <cell r="J59">
            <v>0</v>
          </cell>
          <cell r="K59">
            <v>2300</v>
          </cell>
          <cell r="L59">
            <v>221420</v>
          </cell>
          <cell r="M59"/>
          <cell r="N59" t="str">
            <v>Recoupment Academy</v>
          </cell>
          <cell r="O59">
            <v>0</v>
          </cell>
          <cell r="P59" t="b">
            <v>1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166</v>
          </cell>
          <cell r="W59">
            <v>0</v>
          </cell>
          <cell r="X59">
            <v>0</v>
          </cell>
          <cell r="Y59">
            <v>1</v>
          </cell>
          <cell r="Z59">
            <v>0</v>
          </cell>
          <cell r="AA59">
            <v>0</v>
          </cell>
          <cell r="AB59" t="e">
            <v>#N/A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K59">
            <v>0</v>
          </cell>
          <cell r="AM59" t="e">
            <v>#REF!</v>
          </cell>
          <cell r="AN59" t="e">
            <v>#REF!</v>
          </cell>
          <cell r="AO59" t="e">
            <v>#REF!</v>
          </cell>
          <cell r="AP59" t="e">
            <v>#REF!</v>
          </cell>
          <cell r="AQ59" t="e">
            <v>#REF!</v>
          </cell>
          <cell r="AR59" t="e">
            <v>#REF!</v>
          </cell>
          <cell r="AS59" t="e">
            <v>#REF!</v>
          </cell>
          <cell r="AT59" t="e">
            <v>#REF!</v>
          </cell>
          <cell r="AV59" t="e">
            <v>#REF!</v>
          </cell>
          <cell r="AW59" t="e">
            <v>#REF!</v>
          </cell>
          <cell r="AX59" t="e">
            <v>#REF!</v>
          </cell>
          <cell r="AY59" t="e">
            <v>#REF!</v>
          </cell>
          <cell r="AZ59" t="e">
            <v>#REF!</v>
          </cell>
          <cell r="BA59" t="e">
            <v>#REF!</v>
          </cell>
          <cell r="BB59" t="e">
            <v>#REF!</v>
          </cell>
          <cell r="BC59" t="e">
            <v>#REF!</v>
          </cell>
          <cell r="BD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72324</v>
          </cell>
          <cell r="BM59" t="e">
            <v>#N/A</v>
          </cell>
          <cell r="BN59">
            <v>96255</v>
          </cell>
          <cell r="BP59">
            <v>216480</v>
          </cell>
        </row>
        <row r="60">
          <cell r="C60">
            <v>2060</v>
          </cell>
          <cell r="D60" t="str">
            <v>Hunter's Bar Infant School</v>
          </cell>
          <cell r="E60">
            <v>33</v>
          </cell>
          <cell r="F60">
            <v>0</v>
          </cell>
          <cell r="G60">
            <v>0</v>
          </cell>
          <cell r="H60">
            <v>3</v>
          </cell>
          <cell r="I60">
            <v>43560</v>
          </cell>
          <cell r="J60">
            <v>0</v>
          </cell>
          <cell r="K60">
            <v>6900</v>
          </cell>
          <cell r="L60">
            <v>50460</v>
          </cell>
          <cell r="M60"/>
          <cell r="N60">
            <v>0</v>
          </cell>
          <cell r="O60">
            <v>0</v>
          </cell>
          <cell r="P60" t="b">
            <v>0</v>
          </cell>
          <cell r="Q60">
            <v>0</v>
          </cell>
          <cell r="R60">
            <v>12</v>
          </cell>
          <cell r="S60">
            <v>1320</v>
          </cell>
          <cell r="U60">
            <v>50460</v>
          </cell>
          <cell r="V60">
            <v>33</v>
          </cell>
          <cell r="W60">
            <v>0</v>
          </cell>
          <cell r="X60">
            <v>0</v>
          </cell>
          <cell r="Y60">
            <v>3</v>
          </cell>
          <cell r="Z60">
            <v>50460</v>
          </cell>
          <cell r="AA60">
            <v>0</v>
          </cell>
          <cell r="AB60">
            <v>0</v>
          </cell>
          <cell r="AC60">
            <v>8580</v>
          </cell>
          <cell r="AD60">
            <v>13960</v>
          </cell>
          <cell r="AE60">
            <v>13960</v>
          </cell>
          <cell r="AF60">
            <v>13960</v>
          </cell>
          <cell r="AG60">
            <v>0</v>
          </cell>
          <cell r="AK60">
            <v>34320</v>
          </cell>
          <cell r="AM60" t="e">
            <v>#REF!</v>
          </cell>
          <cell r="AN60" t="e">
            <v>#REF!</v>
          </cell>
          <cell r="AO60" t="e">
            <v>#REF!</v>
          </cell>
          <cell r="AP60" t="e">
            <v>#REF!</v>
          </cell>
          <cell r="AQ60" t="e">
            <v>#REF!</v>
          </cell>
          <cell r="AR60" t="e">
            <v>#REF!</v>
          </cell>
          <cell r="AS60" t="e">
            <v>#REF!</v>
          </cell>
          <cell r="AT60" t="e">
            <v>#REF!</v>
          </cell>
          <cell r="AV60" t="e">
            <v>#REF!</v>
          </cell>
          <cell r="AW60" t="e">
            <v>#REF!</v>
          </cell>
          <cell r="AX60" t="e">
            <v>#REF!</v>
          </cell>
          <cell r="AY60" t="e">
            <v>#REF!</v>
          </cell>
          <cell r="AZ60" t="e">
            <v>#REF!</v>
          </cell>
          <cell r="BA60" t="e">
            <v>#REF!</v>
          </cell>
          <cell r="BB60" t="e">
            <v>#REF!</v>
          </cell>
          <cell r="BC60" t="e">
            <v>#REF!</v>
          </cell>
          <cell r="BD60">
            <v>0</v>
          </cell>
          <cell r="BG60">
            <v>35480</v>
          </cell>
          <cell r="BH60">
            <v>-14980</v>
          </cell>
          <cell r="BI60">
            <v>0</v>
          </cell>
          <cell r="BJ60">
            <v>-36500</v>
          </cell>
          <cell r="BK60">
            <v>0</v>
          </cell>
          <cell r="BL60">
            <v>72325</v>
          </cell>
          <cell r="BM60" t="e">
            <v>#N/A</v>
          </cell>
          <cell r="BN60">
            <v>119220</v>
          </cell>
          <cell r="BP60">
            <v>34320</v>
          </cell>
        </row>
        <row r="61">
          <cell r="C61">
            <v>2058</v>
          </cell>
          <cell r="D61" t="str">
            <v>Hunters Bar Junior</v>
          </cell>
          <cell r="E61">
            <v>59</v>
          </cell>
          <cell r="F61">
            <v>0</v>
          </cell>
          <cell r="G61">
            <v>0</v>
          </cell>
          <cell r="H61">
            <v>5</v>
          </cell>
          <cell r="I61">
            <v>77880</v>
          </cell>
          <cell r="J61">
            <v>0</v>
          </cell>
          <cell r="K61">
            <v>11500</v>
          </cell>
          <cell r="L61">
            <v>89380</v>
          </cell>
          <cell r="M61"/>
          <cell r="N61">
            <v>0</v>
          </cell>
          <cell r="O61">
            <v>0</v>
          </cell>
          <cell r="P61" t="b">
            <v>0</v>
          </cell>
          <cell r="Q61">
            <v>0</v>
          </cell>
          <cell r="R61">
            <v>12</v>
          </cell>
          <cell r="S61">
            <v>1320</v>
          </cell>
          <cell r="U61">
            <v>89380</v>
          </cell>
          <cell r="V61">
            <v>59</v>
          </cell>
          <cell r="W61">
            <v>0</v>
          </cell>
          <cell r="X61">
            <v>0</v>
          </cell>
          <cell r="Y61">
            <v>5</v>
          </cell>
          <cell r="Z61">
            <v>89380</v>
          </cell>
          <cell r="AA61">
            <v>0</v>
          </cell>
          <cell r="AB61">
            <v>0</v>
          </cell>
          <cell r="AC61">
            <v>19470</v>
          </cell>
          <cell r="AD61">
            <v>23303.333333333332</v>
          </cell>
          <cell r="AE61">
            <v>23303.333333333336</v>
          </cell>
          <cell r="AF61">
            <v>23303.333333333336</v>
          </cell>
          <cell r="AG61">
            <v>0</v>
          </cell>
          <cell r="AK61">
            <v>77880</v>
          </cell>
          <cell r="AM61" t="e">
            <v>#REF!</v>
          </cell>
          <cell r="AN61" t="e">
            <v>#REF!</v>
          </cell>
          <cell r="AO61" t="e">
            <v>#REF!</v>
          </cell>
          <cell r="AP61" t="e">
            <v>#REF!</v>
          </cell>
          <cell r="AQ61" t="e">
            <v>#REF!</v>
          </cell>
          <cell r="AR61" t="e">
            <v>#REF!</v>
          </cell>
          <cell r="AS61" t="e">
            <v>#REF!</v>
          </cell>
          <cell r="AT61" t="e">
            <v>#REF!</v>
          </cell>
          <cell r="AV61" t="e">
            <v>#REF!</v>
          </cell>
          <cell r="AW61" t="e">
            <v>#REF!</v>
          </cell>
          <cell r="AX61" t="e">
            <v>#REF!</v>
          </cell>
          <cell r="AY61" t="e">
            <v>#REF!</v>
          </cell>
          <cell r="AZ61" t="e">
            <v>#REF!</v>
          </cell>
          <cell r="BA61" t="e">
            <v>#REF!</v>
          </cell>
          <cell r="BB61" t="e">
            <v>#REF!</v>
          </cell>
          <cell r="BC61" t="e">
            <v>#REF!</v>
          </cell>
          <cell r="BD61">
            <v>0</v>
          </cell>
          <cell r="BG61">
            <v>87540</v>
          </cell>
          <cell r="BH61">
            <v>-1840</v>
          </cell>
          <cell r="BI61">
            <v>0</v>
          </cell>
          <cell r="BJ61">
            <v>-66076.666666666657</v>
          </cell>
          <cell r="BK61">
            <v>0</v>
          </cell>
          <cell r="BL61">
            <v>72327</v>
          </cell>
          <cell r="BM61" t="e">
            <v>#N/A</v>
          </cell>
          <cell r="BN61">
            <v>218790</v>
          </cell>
          <cell r="BP61">
            <v>77880</v>
          </cell>
        </row>
        <row r="62">
          <cell r="C62">
            <v>2063</v>
          </cell>
          <cell r="D62" t="str">
            <v>Intake Primary School</v>
          </cell>
          <cell r="E62">
            <v>92</v>
          </cell>
          <cell r="F62">
            <v>0</v>
          </cell>
          <cell r="G62">
            <v>4</v>
          </cell>
          <cell r="H62">
            <v>0</v>
          </cell>
          <cell r="I62">
            <v>121440</v>
          </cell>
          <cell r="J62">
            <v>1200</v>
          </cell>
          <cell r="K62">
            <v>0</v>
          </cell>
          <cell r="L62">
            <v>122640</v>
          </cell>
          <cell r="M62"/>
          <cell r="N62">
            <v>0</v>
          </cell>
          <cell r="O62">
            <v>0</v>
          </cell>
          <cell r="P62" t="b">
            <v>0</v>
          </cell>
          <cell r="Q62">
            <v>0</v>
          </cell>
          <cell r="R62">
            <v>12</v>
          </cell>
          <cell r="S62">
            <v>1320</v>
          </cell>
          <cell r="U62">
            <v>122640</v>
          </cell>
          <cell r="V62">
            <v>92</v>
          </cell>
          <cell r="W62">
            <v>0</v>
          </cell>
          <cell r="X62">
            <v>4</v>
          </cell>
          <cell r="Y62">
            <v>0</v>
          </cell>
          <cell r="Z62">
            <v>122640</v>
          </cell>
          <cell r="AA62">
            <v>0</v>
          </cell>
          <cell r="AB62">
            <v>0</v>
          </cell>
          <cell r="AC62">
            <v>30030</v>
          </cell>
          <cell r="AD62">
            <v>30870</v>
          </cell>
          <cell r="AE62">
            <v>30870</v>
          </cell>
          <cell r="AF62">
            <v>30870</v>
          </cell>
          <cell r="AG62">
            <v>0</v>
          </cell>
          <cell r="AK62">
            <v>120120</v>
          </cell>
          <cell r="AM62" t="e">
            <v>#REF!</v>
          </cell>
          <cell r="AN62" t="e">
            <v>#REF!</v>
          </cell>
          <cell r="AO62" t="e">
            <v>#REF!</v>
          </cell>
          <cell r="AP62" t="e">
            <v>#REF!</v>
          </cell>
          <cell r="AQ62" t="e">
            <v>#REF!</v>
          </cell>
          <cell r="AR62" t="e">
            <v>#REF!</v>
          </cell>
          <cell r="AS62" t="e">
            <v>#REF!</v>
          </cell>
          <cell r="AT62" t="e">
            <v>#REF!</v>
          </cell>
          <cell r="AV62" t="e">
            <v>#REF!</v>
          </cell>
          <cell r="AW62" t="e">
            <v>#REF!</v>
          </cell>
          <cell r="AX62" t="e">
            <v>#REF!</v>
          </cell>
          <cell r="AY62" t="e">
            <v>#REF!</v>
          </cell>
          <cell r="AZ62" t="e">
            <v>#REF!</v>
          </cell>
          <cell r="BA62" t="e">
            <v>#REF!</v>
          </cell>
          <cell r="BB62" t="e">
            <v>#REF!</v>
          </cell>
          <cell r="BC62" t="e">
            <v>#REF!</v>
          </cell>
          <cell r="BD62">
            <v>0</v>
          </cell>
          <cell r="BG62">
            <v>122640</v>
          </cell>
          <cell r="BH62">
            <v>0</v>
          </cell>
          <cell r="BI62">
            <v>0</v>
          </cell>
          <cell r="BJ62">
            <v>-91770</v>
          </cell>
          <cell r="BK62">
            <v>0</v>
          </cell>
          <cell r="BL62">
            <v>72328</v>
          </cell>
          <cell r="BM62" t="e">
            <v>#N/A</v>
          </cell>
          <cell r="BN62">
            <v>12750</v>
          </cell>
          <cell r="BP62">
            <v>120120</v>
          </cell>
        </row>
        <row r="63">
          <cell r="C63">
            <v>2261</v>
          </cell>
          <cell r="D63" t="str">
            <v>Limpsfield Junior School</v>
          </cell>
          <cell r="E63">
            <v>84</v>
          </cell>
          <cell r="F63">
            <v>0</v>
          </cell>
          <cell r="G63">
            <v>1</v>
          </cell>
          <cell r="H63">
            <v>2</v>
          </cell>
          <cell r="I63">
            <v>110880</v>
          </cell>
          <cell r="J63">
            <v>300</v>
          </cell>
          <cell r="K63">
            <v>4600</v>
          </cell>
          <cell r="L63">
            <v>115780</v>
          </cell>
          <cell r="M63"/>
          <cell r="N63">
            <v>0</v>
          </cell>
          <cell r="O63">
            <v>0</v>
          </cell>
          <cell r="P63" t="b">
            <v>0</v>
          </cell>
          <cell r="Q63">
            <v>0</v>
          </cell>
          <cell r="R63">
            <v>12</v>
          </cell>
          <cell r="S63">
            <v>1320</v>
          </cell>
          <cell r="U63">
            <v>115780</v>
          </cell>
          <cell r="V63">
            <v>84</v>
          </cell>
          <cell r="W63">
            <v>0</v>
          </cell>
          <cell r="X63">
            <v>1</v>
          </cell>
          <cell r="Y63">
            <v>2</v>
          </cell>
          <cell r="Z63">
            <v>115780</v>
          </cell>
          <cell r="AA63">
            <v>0</v>
          </cell>
          <cell r="AB63">
            <v>0</v>
          </cell>
          <cell r="AC63">
            <v>31515</v>
          </cell>
          <cell r="AD63">
            <v>28088.333333333332</v>
          </cell>
          <cell r="AE63">
            <v>28088.333333333336</v>
          </cell>
          <cell r="AF63">
            <v>28088.333333333336</v>
          </cell>
          <cell r="AG63">
            <v>0</v>
          </cell>
          <cell r="AK63">
            <v>126060</v>
          </cell>
          <cell r="AM63" t="e">
            <v>#REF!</v>
          </cell>
          <cell r="AN63" t="e">
            <v>#REF!</v>
          </cell>
          <cell r="AO63" t="e">
            <v>#REF!</v>
          </cell>
          <cell r="AP63" t="e">
            <v>#REF!</v>
          </cell>
          <cell r="AQ63" t="e">
            <v>#REF!</v>
          </cell>
          <cell r="AR63" t="e">
            <v>#REF!</v>
          </cell>
          <cell r="AS63" t="e">
            <v>#REF!</v>
          </cell>
          <cell r="AT63" t="e">
            <v>#REF!</v>
          </cell>
          <cell r="AV63" t="e">
            <v>#REF!</v>
          </cell>
          <cell r="AW63" t="e">
            <v>#REF!</v>
          </cell>
          <cell r="AX63" t="e">
            <v>#REF!</v>
          </cell>
          <cell r="AY63" t="e">
            <v>#REF!</v>
          </cell>
          <cell r="AZ63" t="e">
            <v>#REF!</v>
          </cell>
          <cell r="BA63" t="e">
            <v>#REF!</v>
          </cell>
          <cell r="BB63" t="e">
            <v>#REF!</v>
          </cell>
          <cell r="BC63" t="e">
            <v>#REF!</v>
          </cell>
          <cell r="BD63">
            <v>0</v>
          </cell>
          <cell r="BG63">
            <v>135540</v>
          </cell>
          <cell r="BH63">
            <v>19760</v>
          </cell>
          <cell r="BI63">
            <v>0</v>
          </cell>
          <cell r="BJ63">
            <v>-87691.666666666657</v>
          </cell>
          <cell r="BK63">
            <v>0</v>
          </cell>
          <cell r="BL63">
            <v>72329</v>
          </cell>
          <cell r="BM63" t="e">
            <v>#N/A</v>
          </cell>
          <cell r="BN63">
            <v>80190</v>
          </cell>
          <cell r="BP63">
            <v>126060</v>
          </cell>
        </row>
        <row r="64">
          <cell r="C64">
            <v>2315</v>
          </cell>
          <cell r="D64" t="str">
            <v>Lound Infant School</v>
          </cell>
          <cell r="E64">
            <v>13</v>
          </cell>
          <cell r="F64">
            <v>0</v>
          </cell>
          <cell r="G64">
            <v>1</v>
          </cell>
          <cell r="H64">
            <v>0</v>
          </cell>
          <cell r="I64">
            <v>17160</v>
          </cell>
          <cell r="J64">
            <v>300</v>
          </cell>
          <cell r="K64">
            <v>0</v>
          </cell>
          <cell r="L64">
            <v>17460</v>
          </cell>
          <cell r="M64"/>
          <cell r="N64" t="str">
            <v>Recoupment Academy</v>
          </cell>
          <cell r="O64">
            <v>0</v>
          </cell>
          <cell r="P64" t="b">
            <v>1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13</v>
          </cell>
          <cell r="W64">
            <v>0</v>
          </cell>
          <cell r="X64">
            <v>1</v>
          </cell>
          <cell r="Y64">
            <v>0</v>
          </cell>
          <cell r="Z64">
            <v>0</v>
          </cell>
          <cell r="AA64">
            <v>0</v>
          </cell>
          <cell r="AB64" t="e">
            <v>#N/A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K64">
            <v>0</v>
          </cell>
          <cell r="AM64" t="e">
            <v>#REF!</v>
          </cell>
          <cell r="AN64" t="e">
            <v>#REF!</v>
          </cell>
          <cell r="AO64" t="e">
            <v>#REF!</v>
          </cell>
          <cell r="AP64" t="e">
            <v>#REF!</v>
          </cell>
          <cell r="AQ64" t="e">
            <v>#REF!</v>
          </cell>
          <cell r="AR64" t="e">
            <v>#REF!</v>
          </cell>
          <cell r="AS64" t="e">
            <v>#REF!</v>
          </cell>
          <cell r="AT64" t="e">
            <v>#REF!</v>
          </cell>
          <cell r="AV64" t="e">
            <v>#REF!</v>
          </cell>
          <cell r="AW64" t="e">
            <v>#REF!</v>
          </cell>
          <cell r="AX64" t="e">
            <v>#REF!</v>
          </cell>
          <cell r="AY64" t="e">
            <v>#REF!</v>
          </cell>
          <cell r="AZ64" t="e">
            <v>#REF!</v>
          </cell>
          <cell r="BA64" t="e">
            <v>#REF!</v>
          </cell>
          <cell r="BB64" t="e">
            <v>#REF!</v>
          </cell>
          <cell r="BC64" t="e">
            <v>#REF!</v>
          </cell>
          <cell r="BD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72332</v>
          </cell>
          <cell r="BM64" t="e">
            <v>#N/A</v>
          </cell>
          <cell r="BN64">
            <v>180180</v>
          </cell>
          <cell r="BP64">
            <v>14520</v>
          </cell>
        </row>
        <row r="65">
          <cell r="C65">
            <v>2298</v>
          </cell>
          <cell r="D65" t="str">
            <v>Lound Junior School</v>
          </cell>
          <cell r="E65">
            <v>30</v>
          </cell>
          <cell r="F65">
            <v>0</v>
          </cell>
          <cell r="G65">
            <v>1</v>
          </cell>
          <cell r="H65">
            <v>1</v>
          </cell>
          <cell r="I65">
            <v>39600</v>
          </cell>
          <cell r="J65">
            <v>300</v>
          </cell>
          <cell r="K65">
            <v>2300</v>
          </cell>
          <cell r="L65">
            <v>42200</v>
          </cell>
          <cell r="M65"/>
          <cell r="N65" t="str">
            <v>Recoupment Academy</v>
          </cell>
          <cell r="O65">
            <v>0</v>
          </cell>
          <cell r="P65" t="b">
            <v>1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30</v>
          </cell>
          <cell r="W65">
            <v>0</v>
          </cell>
          <cell r="X65">
            <v>1</v>
          </cell>
          <cell r="Y65">
            <v>1</v>
          </cell>
          <cell r="Z65">
            <v>0</v>
          </cell>
          <cell r="AA65">
            <v>0</v>
          </cell>
          <cell r="AB65" t="e">
            <v>#N/A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K65">
            <v>0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72334</v>
          </cell>
          <cell r="BM65" t="e">
            <v>#N/A</v>
          </cell>
          <cell r="BN65">
            <v>79950</v>
          </cell>
          <cell r="BP65">
            <v>40920</v>
          </cell>
        </row>
        <row r="66">
          <cell r="C66">
            <v>2029</v>
          </cell>
          <cell r="D66" t="str">
            <v>Lowedges Junior Academy</v>
          </cell>
          <cell r="E66">
            <v>159</v>
          </cell>
          <cell r="F66">
            <v>0</v>
          </cell>
          <cell r="G66">
            <v>0</v>
          </cell>
          <cell r="H66">
            <v>1</v>
          </cell>
          <cell r="I66">
            <v>209880</v>
          </cell>
          <cell r="J66">
            <v>0</v>
          </cell>
          <cell r="K66">
            <v>2300</v>
          </cell>
          <cell r="L66">
            <v>212180</v>
          </cell>
          <cell r="M66"/>
          <cell r="N66" t="str">
            <v>Recoupment Academy</v>
          </cell>
          <cell r="O66">
            <v>0</v>
          </cell>
          <cell r="P66" t="b">
            <v>1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159</v>
          </cell>
          <cell r="W66">
            <v>0</v>
          </cell>
          <cell r="X66">
            <v>0</v>
          </cell>
          <cell r="Y66">
            <v>1</v>
          </cell>
          <cell r="Z66">
            <v>0</v>
          </cell>
          <cell r="AA66">
            <v>0</v>
          </cell>
          <cell r="AB66" t="e">
            <v>#N/A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K66">
            <v>0</v>
          </cell>
          <cell r="AM66" t="e">
            <v>#REF!</v>
          </cell>
          <cell r="AN66" t="e">
            <v>#REF!</v>
          </cell>
          <cell r="AO66" t="e">
            <v>#REF!</v>
          </cell>
          <cell r="AP66" t="e">
            <v>#REF!</v>
          </cell>
          <cell r="AQ66" t="e">
            <v>#REF!</v>
          </cell>
          <cell r="AR66" t="e">
            <v>#REF!</v>
          </cell>
          <cell r="AS66" t="e">
            <v>#REF!</v>
          </cell>
          <cell r="AT66" t="e">
            <v>#REF!</v>
          </cell>
          <cell r="AV66" t="e">
            <v>#REF!</v>
          </cell>
          <cell r="AW66" t="e">
            <v>#REF!</v>
          </cell>
          <cell r="AX66" t="e">
            <v>#REF!</v>
          </cell>
          <cell r="AY66" t="e">
            <v>#REF!</v>
          </cell>
          <cell r="AZ66" t="e">
            <v>#REF!</v>
          </cell>
          <cell r="BA66" t="e">
            <v>#REF!</v>
          </cell>
          <cell r="BB66" t="e">
            <v>#REF!</v>
          </cell>
          <cell r="BC66" t="e">
            <v>#REF!</v>
          </cell>
          <cell r="BD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72338</v>
          </cell>
          <cell r="BM66" t="e">
            <v>#N/A</v>
          </cell>
          <cell r="BN66">
            <v>80625</v>
          </cell>
          <cell r="BP66">
            <v>194040</v>
          </cell>
        </row>
        <row r="67">
          <cell r="C67">
            <v>2045</v>
          </cell>
          <cell r="D67" t="str">
            <v>Lower Meadow Community Primary School</v>
          </cell>
          <cell r="E67">
            <v>162</v>
          </cell>
          <cell r="F67">
            <v>0</v>
          </cell>
          <cell r="G67">
            <v>0</v>
          </cell>
          <cell r="H67">
            <v>0</v>
          </cell>
          <cell r="I67">
            <v>213840</v>
          </cell>
          <cell r="J67">
            <v>0</v>
          </cell>
          <cell r="K67">
            <v>0</v>
          </cell>
          <cell r="L67">
            <v>213840</v>
          </cell>
          <cell r="M67"/>
          <cell r="N67" t="str">
            <v>Recoupment Academy</v>
          </cell>
          <cell r="O67">
            <v>0</v>
          </cell>
          <cell r="P67" t="b">
            <v>1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158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 t="e">
            <v>#N/A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K67">
            <v>0</v>
          </cell>
          <cell r="AM67" t="e">
            <v>#REF!</v>
          </cell>
          <cell r="AN67" t="e">
            <v>#REF!</v>
          </cell>
          <cell r="AO67" t="e">
            <v>#REF!</v>
          </cell>
          <cell r="AP67" t="e">
            <v>#REF!</v>
          </cell>
          <cell r="AQ67" t="e">
            <v>#REF!</v>
          </cell>
          <cell r="AR67" t="e">
            <v>#REF!</v>
          </cell>
          <cell r="AS67" t="e">
            <v>#REF!</v>
          </cell>
          <cell r="AT67" t="e">
            <v>#REF!</v>
          </cell>
          <cell r="AV67" t="e">
            <v>#REF!</v>
          </cell>
          <cell r="AW67" t="e">
            <v>#REF!</v>
          </cell>
          <cell r="AX67" t="e">
            <v>#REF!</v>
          </cell>
          <cell r="AY67" t="e">
            <v>#REF!</v>
          </cell>
          <cell r="AZ67" t="e">
            <v>#REF!</v>
          </cell>
          <cell r="BA67" t="e">
            <v>#REF!</v>
          </cell>
          <cell r="BB67" t="e">
            <v>#REF!</v>
          </cell>
          <cell r="BC67" t="e">
            <v>#REF!</v>
          </cell>
          <cell r="BD67">
            <v>0</v>
          </cell>
          <cell r="BG67">
            <v>81400</v>
          </cell>
          <cell r="BH67">
            <v>81400</v>
          </cell>
          <cell r="BI67">
            <v>0</v>
          </cell>
          <cell r="BJ67">
            <v>0</v>
          </cell>
          <cell r="BK67">
            <v>0</v>
          </cell>
          <cell r="BL67">
            <v>72340</v>
          </cell>
          <cell r="BM67" t="e">
            <v>#N/A</v>
          </cell>
          <cell r="BN67">
            <v>168630</v>
          </cell>
          <cell r="BP67">
            <v>219120</v>
          </cell>
        </row>
        <row r="68">
          <cell r="C68">
            <v>2070</v>
          </cell>
          <cell r="D68" t="str">
            <v>Lowfield Primary</v>
          </cell>
          <cell r="E68">
            <v>166</v>
          </cell>
          <cell r="F68">
            <v>0</v>
          </cell>
          <cell r="G68">
            <v>3</v>
          </cell>
          <cell r="H68">
            <v>0</v>
          </cell>
          <cell r="I68">
            <v>219120</v>
          </cell>
          <cell r="J68">
            <v>900</v>
          </cell>
          <cell r="K68">
            <v>0</v>
          </cell>
          <cell r="L68">
            <v>220020</v>
          </cell>
          <cell r="M68"/>
          <cell r="N68">
            <v>0</v>
          </cell>
          <cell r="O68">
            <v>0</v>
          </cell>
          <cell r="P68" t="b">
            <v>0</v>
          </cell>
          <cell r="Q68">
            <v>0</v>
          </cell>
          <cell r="R68">
            <v>12</v>
          </cell>
          <cell r="S68">
            <v>1320</v>
          </cell>
          <cell r="U68">
            <v>220020</v>
          </cell>
          <cell r="V68">
            <v>164</v>
          </cell>
          <cell r="W68">
            <v>0</v>
          </cell>
          <cell r="X68">
            <v>3</v>
          </cell>
          <cell r="Y68">
            <v>0</v>
          </cell>
          <cell r="Z68">
            <v>217380</v>
          </cell>
          <cell r="AA68">
            <v>-2640</v>
          </cell>
          <cell r="AB68">
            <v>-2640</v>
          </cell>
          <cell r="AC68">
            <v>58410</v>
          </cell>
          <cell r="AD68">
            <v>53870</v>
          </cell>
          <cell r="AE68">
            <v>52550</v>
          </cell>
          <cell r="AF68">
            <v>52550</v>
          </cell>
          <cell r="AG68">
            <v>0</v>
          </cell>
          <cell r="AK68">
            <v>233640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  <cell r="BB68" t="e">
            <v>#REF!</v>
          </cell>
          <cell r="BC68" t="e">
            <v>#REF!</v>
          </cell>
          <cell r="BD68">
            <v>-2640</v>
          </cell>
          <cell r="BG68">
            <v>209880</v>
          </cell>
          <cell r="BH68">
            <v>-10140</v>
          </cell>
          <cell r="BI68">
            <v>0</v>
          </cell>
          <cell r="BJ68">
            <v>-164830</v>
          </cell>
          <cell r="BK68">
            <v>0</v>
          </cell>
          <cell r="BL68">
            <v>72341</v>
          </cell>
          <cell r="BM68" t="e">
            <v>#N/A</v>
          </cell>
          <cell r="BN68">
            <v>113805</v>
          </cell>
          <cell r="BP68">
            <v>233640</v>
          </cell>
        </row>
        <row r="69">
          <cell r="C69">
            <v>2292</v>
          </cell>
          <cell r="D69" t="str">
            <v>Loxley Primary School</v>
          </cell>
          <cell r="E69">
            <v>11</v>
          </cell>
          <cell r="F69">
            <v>0</v>
          </cell>
          <cell r="G69">
            <v>0</v>
          </cell>
          <cell r="H69">
            <v>6</v>
          </cell>
          <cell r="I69">
            <v>14520</v>
          </cell>
          <cell r="J69">
            <v>0</v>
          </cell>
          <cell r="K69">
            <v>13800</v>
          </cell>
          <cell r="L69">
            <v>28320</v>
          </cell>
          <cell r="M69"/>
          <cell r="N69">
            <v>0</v>
          </cell>
          <cell r="O69">
            <v>0</v>
          </cell>
          <cell r="P69" t="b">
            <v>0</v>
          </cell>
          <cell r="Q69">
            <v>0</v>
          </cell>
          <cell r="R69">
            <v>12</v>
          </cell>
          <cell r="S69">
            <v>1320</v>
          </cell>
          <cell r="U69">
            <v>28320</v>
          </cell>
          <cell r="V69">
            <v>11</v>
          </cell>
          <cell r="W69">
            <v>0</v>
          </cell>
          <cell r="X69">
            <v>0</v>
          </cell>
          <cell r="Y69">
            <v>6</v>
          </cell>
          <cell r="Z69">
            <v>28320</v>
          </cell>
          <cell r="AA69">
            <v>0</v>
          </cell>
          <cell r="AB69">
            <v>0</v>
          </cell>
          <cell r="AC69">
            <v>2640</v>
          </cell>
          <cell r="AD69">
            <v>8560</v>
          </cell>
          <cell r="AE69">
            <v>10040</v>
          </cell>
          <cell r="AF69">
            <v>7080</v>
          </cell>
          <cell r="AG69">
            <v>0</v>
          </cell>
          <cell r="AK69">
            <v>10560</v>
          </cell>
          <cell r="AM69" t="e">
            <v>#REF!</v>
          </cell>
          <cell r="AN69" t="e">
            <v>#REF!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AY69" t="e">
            <v>#REF!</v>
          </cell>
          <cell r="AZ69" t="e">
            <v>#REF!</v>
          </cell>
          <cell r="BA69" t="e">
            <v>#REF!</v>
          </cell>
          <cell r="BB69" t="e">
            <v>#REF!</v>
          </cell>
          <cell r="BC69" t="e">
            <v>#REF!</v>
          </cell>
          <cell r="BD69">
            <v>0</v>
          </cell>
          <cell r="BG69">
            <v>20800</v>
          </cell>
          <cell r="BH69">
            <v>-7520</v>
          </cell>
          <cell r="BI69">
            <v>0</v>
          </cell>
          <cell r="BJ69">
            <v>-21240</v>
          </cell>
          <cell r="BK69">
            <v>0</v>
          </cell>
          <cell r="BL69">
            <v>72342</v>
          </cell>
          <cell r="BM69" t="e">
            <v>#N/A</v>
          </cell>
          <cell r="BN69">
            <v>90090</v>
          </cell>
          <cell r="BP69">
            <v>10560</v>
          </cell>
        </row>
        <row r="70">
          <cell r="C70">
            <v>2072</v>
          </cell>
          <cell r="D70" t="str">
            <v>Lydgate Infant School</v>
          </cell>
          <cell r="E70">
            <v>23</v>
          </cell>
          <cell r="F70">
            <v>0</v>
          </cell>
          <cell r="G70">
            <v>0</v>
          </cell>
          <cell r="H70">
            <v>2</v>
          </cell>
          <cell r="I70">
            <v>30360</v>
          </cell>
          <cell r="J70">
            <v>0</v>
          </cell>
          <cell r="K70">
            <v>4600</v>
          </cell>
          <cell r="L70">
            <v>34960</v>
          </cell>
          <cell r="M70"/>
          <cell r="N70">
            <v>0</v>
          </cell>
          <cell r="O70">
            <v>0</v>
          </cell>
          <cell r="P70" t="b">
            <v>0</v>
          </cell>
          <cell r="Q70">
            <v>0</v>
          </cell>
          <cell r="R70">
            <v>12</v>
          </cell>
          <cell r="S70">
            <v>1320</v>
          </cell>
          <cell r="U70">
            <v>34960</v>
          </cell>
          <cell r="V70">
            <v>23</v>
          </cell>
          <cell r="W70">
            <v>0</v>
          </cell>
          <cell r="X70">
            <v>0</v>
          </cell>
          <cell r="Y70">
            <v>2</v>
          </cell>
          <cell r="Z70">
            <v>34960</v>
          </cell>
          <cell r="AA70">
            <v>0</v>
          </cell>
          <cell r="AB70">
            <v>0</v>
          </cell>
          <cell r="AC70">
            <v>3960</v>
          </cell>
          <cell r="AD70">
            <v>10333.333333333334</v>
          </cell>
          <cell r="AE70">
            <v>10333.333333333332</v>
          </cell>
          <cell r="AF70">
            <v>10333.333333333332</v>
          </cell>
          <cell r="AG70">
            <v>0</v>
          </cell>
          <cell r="AK70">
            <v>15840</v>
          </cell>
          <cell r="AM70" t="e">
            <v>#REF!</v>
          </cell>
          <cell r="AN70" t="e">
            <v>#REF!</v>
          </cell>
          <cell r="AO70" t="e">
            <v>#REF!</v>
          </cell>
          <cell r="AP70" t="e">
            <v>#REF!</v>
          </cell>
          <cell r="AQ70" t="e">
            <v>#REF!</v>
          </cell>
          <cell r="AR70" t="e">
            <v>#REF!</v>
          </cell>
          <cell r="AS70" t="e">
            <v>#REF!</v>
          </cell>
          <cell r="AT70" t="e">
            <v>#REF!</v>
          </cell>
          <cell r="AV70" t="e">
            <v>#REF!</v>
          </cell>
          <cell r="AW70" t="e">
            <v>#REF!</v>
          </cell>
          <cell r="AX70" t="e">
            <v>#REF!</v>
          </cell>
          <cell r="AY70" t="e">
            <v>#REF!</v>
          </cell>
          <cell r="AZ70" t="e">
            <v>#REF!</v>
          </cell>
          <cell r="BA70" t="e">
            <v>#REF!</v>
          </cell>
          <cell r="BB70" t="e">
            <v>#REF!</v>
          </cell>
          <cell r="BC70" t="e">
            <v>#REF!</v>
          </cell>
          <cell r="BD70">
            <v>0</v>
          </cell>
          <cell r="BG70">
            <v>18480</v>
          </cell>
          <cell r="BH70">
            <v>-16480</v>
          </cell>
          <cell r="BI70">
            <v>0</v>
          </cell>
          <cell r="BJ70">
            <v>-24626.666666666664</v>
          </cell>
          <cell r="BK70">
            <v>0</v>
          </cell>
          <cell r="BL70">
            <v>72343</v>
          </cell>
          <cell r="BM70" t="e">
            <v>#N/A</v>
          </cell>
          <cell r="BN70">
            <v>130635</v>
          </cell>
          <cell r="BP70">
            <v>15840</v>
          </cell>
        </row>
        <row r="71">
          <cell r="C71">
            <v>2071</v>
          </cell>
          <cell r="D71" t="str">
            <v>Lydgate Junior School</v>
          </cell>
          <cell r="E71">
            <v>31</v>
          </cell>
          <cell r="F71">
            <v>0</v>
          </cell>
          <cell r="G71">
            <v>0</v>
          </cell>
          <cell r="H71">
            <v>5</v>
          </cell>
          <cell r="I71">
            <v>40920</v>
          </cell>
          <cell r="J71">
            <v>0</v>
          </cell>
          <cell r="K71">
            <v>11500</v>
          </cell>
          <cell r="L71">
            <v>52420</v>
          </cell>
          <cell r="M71"/>
          <cell r="N71">
            <v>0</v>
          </cell>
          <cell r="O71">
            <v>0</v>
          </cell>
          <cell r="P71" t="b">
            <v>0</v>
          </cell>
          <cell r="Q71">
            <v>0</v>
          </cell>
          <cell r="R71">
            <v>12</v>
          </cell>
          <cell r="S71">
            <v>1320</v>
          </cell>
          <cell r="U71">
            <v>52420</v>
          </cell>
          <cell r="V71">
            <v>31</v>
          </cell>
          <cell r="W71">
            <v>0</v>
          </cell>
          <cell r="X71">
            <v>0</v>
          </cell>
          <cell r="Y71">
            <v>5</v>
          </cell>
          <cell r="Z71">
            <v>52420</v>
          </cell>
          <cell r="AA71">
            <v>0</v>
          </cell>
          <cell r="AB71">
            <v>0</v>
          </cell>
          <cell r="AC71">
            <v>12540</v>
          </cell>
          <cell r="AD71">
            <v>13293.333333333334</v>
          </cell>
          <cell r="AE71">
            <v>13293.333333333332</v>
          </cell>
          <cell r="AF71">
            <v>13293.333333333332</v>
          </cell>
          <cell r="AG71">
            <v>0</v>
          </cell>
          <cell r="AK71">
            <v>50160</v>
          </cell>
          <cell r="AM71" t="e">
            <v>#REF!</v>
          </cell>
          <cell r="AN71" t="e">
            <v>#REF!</v>
          </cell>
          <cell r="AO71" t="e">
            <v>#REF!</v>
          </cell>
          <cell r="AP71" t="e">
            <v>#REF!</v>
          </cell>
          <cell r="AQ71" t="e">
            <v>#REF!</v>
          </cell>
          <cell r="AR71" t="e">
            <v>#REF!</v>
          </cell>
          <cell r="AS71" t="e">
            <v>#REF!</v>
          </cell>
          <cell r="AT71" t="e">
            <v>#REF!</v>
          </cell>
          <cell r="AV71" t="e">
            <v>#REF!</v>
          </cell>
          <cell r="AW71" t="e">
            <v>#REF!</v>
          </cell>
          <cell r="AX71" t="e">
            <v>#REF!</v>
          </cell>
          <cell r="AY71" t="e">
            <v>#REF!</v>
          </cell>
          <cell r="AZ71" t="e">
            <v>#REF!</v>
          </cell>
          <cell r="BA71" t="e">
            <v>#REF!</v>
          </cell>
          <cell r="BB71" t="e">
            <v>#REF!</v>
          </cell>
          <cell r="BC71" t="e">
            <v>#REF!</v>
          </cell>
          <cell r="BD71">
            <v>0</v>
          </cell>
          <cell r="BG71">
            <v>55280</v>
          </cell>
          <cell r="BH71">
            <v>2860</v>
          </cell>
          <cell r="BI71">
            <v>0</v>
          </cell>
          <cell r="BJ71">
            <v>-39126.666666666672</v>
          </cell>
          <cell r="BK71">
            <v>0</v>
          </cell>
          <cell r="BL71">
            <v>72344</v>
          </cell>
          <cell r="BM71" t="e">
            <v>#N/A</v>
          </cell>
          <cell r="BN71">
            <v>122655</v>
          </cell>
          <cell r="BP71">
            <v>50160</v>
          </cell>
        </row>
        <row r="72">
          <cell r="C72">
            <v>2358</v>
          </cell>
          <cell r="D72" t="str">
            <v>Malin Bridge School</v>
          </cell>
          <cell r="E72">
            <v>100</v>
          </cell>
          <cell r="F72">
            <v>0</v>
          </cell>
          <cell r="G72">
            <v>0</v>
          </cell>
          <cell r="H72">
            <v>5</v>
          </cell>
          <cell r="I72">
            <v>132000</v>
          </cell>
          <cell r="J72">
            <v>0</v>
          </cell>
          <cell r="K72">
            <v>11500</v>
          </cell>
          <cell r="L72">
            <v>143500</v>
          </cell>
          <cell r="M72"/>
          <cell r="N72">
            <v>0</v>
          </cell>
          <cell r="O72">
            <v>0</v>
          </cell>
          <cell r="P72" t="b">
            <v>0</v>
          </cell>
          <cell r="Q72">
            <v>0</v>
          </cell>
          <cell r="R72">
            <v>12</v>
          </cell>
          <cell r="S72">
            <v>1320</v>
          </cell>
          <cell r="U72">
            <v>143500</v>
          </cell>
          <cell r="V72">
            <v>100</v>
          </cell>
          <cell r="W72">
            <v>0</v>
          </cell>
          <cell r="X72">
            <v>0</v>
          </cell>
          <cell r="Y72">
            <v>5</v>
          </cell>
          <cell r="Z72">
            <v>143500</v>
          </cell>
          <cell r="AA72">
            <v>0</v>
          </cell>
          <cell r="AB72">
            <v>0</v>
          </cell>
          <cell r="AC72">
            <v>34320</v>
          </cell>
          <cell r="AD72">
            <v>36393.333333333336</v>
          </cell>
          <cell r="AE72">
            <v>36393.333333333328</v>
          </cell>
          <cell r="AF72">
            <v>36393.333333333328</v>
          </cell>
          <cell r="AG72">
            <v>0</v>
          </cell>
          <cell r="AK72">
            <v>137280</v>
          </cell>
          <cell r="AM72" t="e">
            <v>#REF!</v>
          </cell>
          <cell r="AN72" t="e">
            <v>#REF!</v>
          </cell>
          <cell r="AO72" t="e">
            <v>#REF!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 t="e">
            <v>#REF!</v>
          </cell>
          <cell r="AV72" t="e">
            <v>#REF!</v>
          </cell>
          <cell r="AW72" t="e">
            <v>#REF!</v>
          </cell>
          <cell r="AX72" t="e">
            <v>#REF!</v>
          </cell>
          <cell r="AY72" t="e">
            <v>#REF!</v>
          </cell>
          <cell r="AZ72" t="e">
            <v>#REF!</v>
          </cell>
          <cell r="BA72" t="e">
            <v>#REF!</v>
          </cell>
          <cell r="BB72" t="e">
            <v>#REF!</v>
          </cell>
          <cell r="BC72" t="e">
            <v>#REF!</v>
          </cell>
          <cell r="BD72">
            <v>0</v>
          </cell>
          <cell r="BG72">
            <v>144880</v>
          </cell>
          <cell r="BH72">
            <v>1380</v>
          </cell>
          <cell r="BI72">
            <v>0</v>
          </cell>
          <cell r="BJ72">
            <v>-107106.66666666667</v>
          </cell>
          <cell r="BK72">
            <v>0</v>
          </cell>
          <cell r="BL72">
            <v>72347</v>
          </cell>
          <cell r="BM72" t="e">
            <v>#N/A</v>
          </cell>
          <cell r="BN72">
            <v>236610</v>
          </cell>
          <cell r="BP72">
            <v>137280</v>
          </cell>
        </row>
        <row r="73">
          <cell r="C73">
            <v>2359</v>
          </cell>
          <cell r="D73" t="str">
            <v>Manor Lodge Community Primary</v>
          </cell>
          <cell r="E73">
            <v>164</v>
          </cell>
          <cell r="F73">
            <v>0</v>
          </cell>
          <cell r="G73">
            <v>0</v>
          </cell>
          <cell r="H73">
            <v>1</v>
          </cell>
          <cell r="I73">
            <v>216480</v>
          </cell>
          <cell r="J73">
            <v>0</v>
          </cell>
          <cell r="K73">
            <v>2300</v>
          </cell>
          <cell r="L73">
            <v>218780</v>
          </cell>
          <cell r="M73"/>
          <cell r="N73" t="str">
            <v>Recoupment Academy</v>
          </cell>
          <cell r="O73">
            <v>0</v>
          </cell>
          <cell r="P73" t="b">
            <v>1</v>
          </cell>
          <cell r="Q73">
            <v>0</v>
          </cell>
          <cell r="R73">
            <v>0</v>
          </cell>
          <cell r="S73">
            <v>0</v>
          </cell>
          <cell r="U73">
            <v>0</v>
          </cell>
          <cell r="V73">
            <v>164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0</v>
          </cell>
          <cell r="AB73" t="e">
            <v>#N/A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K73">
            <v>0</v>
          </cell>
          <cell r="AM73" t="e">
            <v>#REF!</v>
          </cell>
          <cell r="AN73" t="e">
            <v>#REF!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AY73" t="e">
            <v>#REF!</v>
          </cell>
          <cell r="AZ73" t="e">
            <v>#REF!</v>
          </cell>
          <cell r="BA73" t="e">
            <v>#REF!</v>
          </cell>
          <cell r="BB73" t="e">
            <v>#REF!</v>
          </cell>
          <cell r="BC73" t="e">
            <v>#REF!</v>
          </cell>
          <cell r="BD73">
            <v>0</v>
          </cell>
          <cell r="BG73">
            <v>182000</v>
          </cell>
          <cell r="BH73">
            <v>182000</v>
          </cell>
          <cell r="BI73">
            <v>0</v>
          </cell>
          <cell r="BJ73">
            <v>0</v>
          </cell>
          <cell r="BK73">
            <v>0</v>
          </cell>
          <cell r="BL73">
            <v>72349</v>
          </cell>
          <cell r="BM73" t="e">
            <v>#N/A</v>
          </cell>
          <cell r="BN73">
            <v>81405</v>
          </cell>
          <cell r="BP73">
            <v>191400</v>
          </cell>
        </row>
        <row r="74">
          <cell r="C74">
            <v>2012</v>
          </cell>
          <cell r="D74" t="str">
            <v>Mansel Primary School</v>
          </cell>
          <cell r="E74">
            <v>228</v>
          </cell>
          <cell r="F74">
            <v>0</v>
          </cell>
          <cell r="G74">
            <v>1</v>
          </cell>
          <cell r="H74">
            <v>7</v>
          </cell>
          <cell r="I74">
            <v>300960</v>
          </cell>
          <cell r="J74">
            <v>300</v>
          </cell>
          <cell r="K74">
            <v>16100</v>
          </cell>
          <cell r="L74">
            <v>317360</v>
          </cell>
          <cell r="M74"/>
          <cell r="N74" t="str">
            <v>Recoupment Academy</v>
          </cell>
          <cell r="O74">
            <v>0</v>
          </cell>
          <cell r="P74" t="b">
            <v>1</v>
          </cell>
          <cell r="Q74">
            <v>0</v>
          </cell>
          <cell r="R74">
            <v>0</v>
          </cell>
          <cell r="S74">
            <v>0</v>
          </cell>
          <cell r="U74">
            <v>0</v>
          </cell>
          <cell r="V74">
            <v>228</v>
          </cell>
          <cell r="W74">
            <v>0</v>
          </cell>
          <cell r="X74">
            <v>1</v>
          </cell>
          <cell r="Y74">
            <v>7</v>
          </cell>
          <cell r="Z74">
            <v>0</v>
          </cell>
          <cell r="AA74">
            <v>0</v>
          </cell>
          <cell r="AB74" t="e">
            <v>#N/A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K74">
            <v>0</v>
          </cell>
          <cell r="AM74" t="e">
            <v>#REF!</v>
          </cell>
          <cell r="AN74" t="e">
            <v>#REF!</v>
          </cell>
          <cell r="AO74" t="e">
            <v>#REF!</v>
          </cell>
          <cell r="AP74" t="e">
            <v>#REF!</v>
          </cell>
          <cell r="AQ74" t="e">
            <v>#REF!</v>
          </cell>
          <cell r="AR74" t="e">
            <v>#REF!</v>
          </cell>
          <cell r="AS74" t="e">
            <v>#REF!</v>
          </cell>
          <cell r="AT74" t="e">
            <v>#REF!</v>
          </cell>
          <cell r="AV74" t="e">
            <v>#REF!</v>
          </cell>
          <cell r="AW74" t="e">
            <v>#REF!</v>
          </cell>
          <cell r="AX74" t="e">
            <v>#REF!</v>
          </cell>
          <cell r="AY74" t="e">
            <v>#REF!</v>
          </cell>
          <cell r="AZ74" t="e">
            <v>#REF!</v>
          </cell>
          <cell r="BA74" t="e">
            <v>#REF!</v>
          </cell>
          <cell r="BB74" t="e">
            <v>#REF!</v>
          </cell>
          <cell r="BC74" t="e">
            <v>#REF!</v>
          </cell>
          <cell r="BD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72350</v>
          </cell>
          <cell r="BM74" t="e">
            <v>#N/A</v>
          </cell>
          <cell r="BN74">
            <v>164325</v>
          </cell>
          <cell r="BP74">
            <v>291720</v>
          </cell>
        </row>
        <row r="75">
          <cell r="C75">
            <v>2079</v>
          </cell>
          <cell r="D75" t="str">
            <v>Marlcliffe Primary School</v>
          </cell>
          <cell r="E75">
            <v>94</v>
          </cell>
          <cell r="F75">
            <v>0</v>
          </cell>
          <cell r="G75">
            <v>0</v>
          </cell>
          <cell r="H75">
            <v>3</v>
          </cell>
          <cell r="I75">
            <v>124080</v>
          </cell>
          <cell r="J75">
            <v>0</v>
          </cell>
          <cell r="K75">
            <v>6900</v>
          </cell>
          <cell r="L75">
            <v>130980</v>
          </cell>
          <cell r="M75"/>
          <cell r="N75">
            <v>0</v>
          </cell>
          <cell r="O75">
            <v>0</v>
          </cell>
          <cell r="P75" t="b">
            <v>0</v>
          </cell>
          <cell r="Q75">
            <v>0</v>
          </cell>
          <cell r="R75">
            <v>12</v>
          </cell>
          <cell r="S75">
            <v>1320</v>
          </cell>
          <cell r="U75">
            <v>130980</v>
          </cell>
          <cell r="V75">
            <v>94</v>
          </cell>
          <cell r="W75">
            <v>0</v>
          </cell>
          <cell r="X75">
            <v>0</v>
          </cell>
          <cell r="Y75">
            <v>3</v>
          </cell>
          <cell r="Z75">
            <v>130980</v>
          </cell>
          <cell r="AA75">
            <v>0</v>
          </cell>
          <cell r="AB75">
            <v>0</v>
          </cell>
          <cell r="AC75">
            <v>27390</v>
          </cell>
          <cell r="AD75">
            <v>34530</v>
          </cell>
          <cell r="AE75">
            <v>34530</v>
          </cell>
          <cell r="AF75">
            <v>34530</v>
          </cell>
          <cell r="AG75">
            <v>0</v>
          </cell>
          <cell r="AK75">
            <v>109560</v>
          </cell>
          <cell r="AM75" t="e">
            <v>#REF!</v>
          </cell>
          <cell r="AN75" t="e">
            <v>#REF!</v>
          </cell>
          <cell r="AO75" t="e">
            <v>#REF!</v>
          </cell>
          <cell r="AP75" t="e">
            <v>#REF!</v>
          </cell>
          <cell r="AQ75" t="e">
            <v>#REF!</v>
          </cell>
          <cell r="AR75" t="e">
            <v>#REF!</v>
          </cell>
          <cell r="AS75" t="e">
            <v>#REF!</v>
          </cell>
          <cell r="AT75" t="e">
            <v>#REF!</v>
          </cell>
          <cell r="AV75" t="e">
            <v>#REF!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 t="e">
            <v>#REF!</v>
          </cell>
          <cell r="BB75" t="e">
            <v>#REF!</v>
          </cell>
          <cell r="BC75" t="e">
            <v>#REF!</v>
          </cell>
          <cell r="BD75">
            <v>0</v>
          </cell>
          <cell r="BG75">
            <v>113500</v>
          </cell>
          <cell r="BH75">
            <v>-17480</v>
          </cell>
          <cell r="BI75">
            <v>0</v>
          </cell>
          <cell r="BJ75">
            <v>-96450</v>
          </cell>
          <cell r="BK75">
            <v>0</v>
          </cell>
          <cell r="BL75">
            <v>72351</v>
          </cell>
          <cell r="BM75" t="e">
            <v>#N/A</v>
          </cell>
          <cell r="BN75">
            <v>82170</v>
          </cell>
          <cell r="BP75">
            <v>109560</v>
          </cell>
        </row>
        <row r="76">
          <cell r="C76">
            <v>2081</v>
          </cell>
          <cell r="D76" t="str">
            <v>Meersbrook Bank Primary School</v>
          </cell>
          <cell r="E76">
            <v>25</v>
          </cell>
          <cell r="F76">
            <v>0</v>
          </cell>
          <cell r="G76">
            <v>0</v>
          </cell>
          <cell r="H76">
            <v>6</v>
          </cell>
          <cell r="I76">
            <v>33000</v>
          </cell>
          <cell r="J76">
            <v>0</v>
          </cell>
          <cell r="K76">
            <v>13800</v>
          </cell>
          <cell r="L76">
            <v>46800</v>
          </cell>
          <cell r="M76"/>
          <cell r="N76">
            <v>0</v>
          </cell>
          <cell r="O76">
            <v>0</v>
          </cell>
          <cell r="P76" t="b">
            <v>0</v>
          </cell>
          <cell r="Q76">
            <v>0</v>
          </cell>
          <cell r="R76">
            <v>12</v>
          </cell>
          <cell r="S76">
            <v>1320</v>
          </cell>
          <cell r="U76">
            <v>46800</v>
          </cell>
          <cell r="V76">
            <v>25</v>
          </cell>
          <cell r="W76">
            <v>0</v>
          </cell>
          <cell r="X76">
            <v>0</v>
          </cell>
          <cell r="Y76">
            <v>6</v>
          </cell>
          <cell r="Z76">
            <v>46800</v>
          </cell>
          <cell r="AA76">
            <v>0</v>
          </cell>
          <cell r="AB76">
            <v>0</v>
          </cell>
          <cell r="AC76">
            <v>8250</v>
          </cell>
          <cell r="AD76">
            <v>12850</v>
          </cell>
          <cell r="AE76">
            <v>12850</v>
          </cell>
          <cell r="AF76">
            <v>12850</v>
          </cell>
          <cell r="AG76">
            <v>0</v>
          </cell>
          <cell r="AK76">
            <v>33000</v>
          </cell>
          <cell r="AM76" t="e">
            <v>#REF!</v>
          </cell>
          <cell r="AN76" t="e">
            <v>#REF!</v>
          </cell>
          <cell r="AO76" t="e">
            <v>#REF!</v>
          </cell>
          <cell r="AP76" t="e">
            <v>#REF!</v>
          </cell>
          <cell r="AQ76" t="e">
            <v>#REF!</v>
          </cell>
          <cell r="AR76" t="e">
            <v>#REF!</v>
          </cell>
          <cell r="AS76" t="e">
            <v>#REF!</v>
          </cell>
          <cell r="AT76" t="e">
            <v>#REF!</v>
          </cell>
          <cell r="AV76" t="e">
            <v>#REF!</v>
          </cell>
          <cell r="AW76" t="e">
            <v>#REF!</v>
          </cell>
          <cell r="AX76" t="e">
            <v>#REF!</v>
          </cell>
          <cell r="AY76" t="e">
            <v>#REF!</v>
          </cell>
          <cell r="AZ76" t="e">
            <v>#REF!</v>
          </cell>
          <cell r="BA76" t="e">
            <v>#REF!</v>
          </cell>
          <cell r="BB76" t="e">
            <v>#REF!</v>
          </cell>
          <cell r="BC76" t="e">
            <v>#REF!</v>
          </cell>
          <cell r="BD76">
            <v>0</v>
          </cell>
          <cell r="BG76">
            <v>38700</v>
          </cell>
          <cell r="BH76">
            <v>-8100</v>
          </cell>
          <cell r="BI76">
            <v>0</v>
          </cell>
          <cell r="BJ76">
            <v>-33950</v>
          </cell>
          <cell r="BK76">
            <v>0</v>
          </cell>
          <cell r="BL76">
            <v>72352</v>
          </cell>
          <cell r="BM76" t="e">
            <v>#N/A</v>
          </cell>
          <cell r="BN76">
            <v>75765</v>
          </cell>
          <cell r="BP76">
            <v>33000</v>
          </cell>
        </row>
        <row r="77">
          <cell r="C77">
            <v>2013</v>
          </cell>
          <cell r="D77" t="str">
            <v>Meynell Primary School</v>
          </cell>
          <cell r="E77">
            <v>251</v>
          </cell>
          <cell r="F77">
            <v>0</v>
          </cell>
          <cell r="G77">
            <v>0</v>
          </cell>
          <cell r="H77">
            <v>4</v>
          </cell>
          <cell r="I77">
            <v>331320</v>
          </cell>
          <cell r="J77">
            <v>0</v>
          </cell>
          <cell r="K77">
            <v>9200</v>
          </cell>
          <cell r="L77">
            <v>340520</v>
          </cell>
          <cell r="M77"/>
          <cell r="N77" t="str">
            <v>Recoupment Academy</v>
          </cell>
          <cell r="O77">
            <v>0</v>
          </cell>
          <cell r="P77" t="b">
            <v>1</v>
          </cell>
          <cell r="Q77">
            <v>0</v>
          </cell>
          <cell r="R77">
            <v>0</v>
          </cell>
          <cell r="S77">
            <v>0</v>
          </cell>
          <cell r="U77">
            <v>0</v>
          </cell>
          <cell r="V77">
            <v>249</v>
          </cell>
          <cell r="W77">
            <v>0</v>
          </cell>
          <cell r="X77">
            <v>0</v>
          </cell>
          <cell r="Y77">
            <v>4</v>
          </cell>
          <cell r="Z77">
            <v>0</v>
          </cell>
          <cell r="AA77">
            <v>0</v>
          </cell>
          <cell r="AB77" t="e">
            <v>#N/A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K77">
            <v>0</v>
          </cell>
          <cell r="AM77" t="e">
            <v>#REF!</v>
          </cell>
          <cell r="AN77" t="e">
            <v>#REF!</v>
          </cell>
          <cell r="AO77" t="e">
            <v>#REF!</v>
          </cell>
          <cell r="AP77" t="e">
            <v>#REF!</v>
          </cell>
          <cell r="AQ77" t="e">
            <v>#REF!</v>
          </cell>
          <cell r="AR77" t="e">
            <v>#REF!</v>
          </cell>
          <cell r="AS77" t="e">
            <v>#REF!</v>
          </cell>
          <cell r="AT77" t="e">
            <v>#REF!</v>
          </cell>
          <cell r="AV77" t="e">
            <v>#REF!</v>
          </cell>
          <cell r="AW77" t="e">
            <v>#REF!</v>
          </cell>
          <cell r="AX77" t="e">
            <v>#REF!</v>
          </cell>
          <cell r="AY77" t="e">
            <v>#REF!</v>
          </cell>
          <cell r="AZ77" t="e">
            <v>#REF!</v>
          </cell>
          <cell r="BA77" t="e">
            <v>#REF!</v>
          </cell>
          <cell r="BB77" t="e">
            <v>#REF!</v>
          </cell>
          <cell r="BC77" t="e">
            <v>#REF!</v>
          </cell>
          <cell r="BD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72354</v>
          </cell>
          <cell r="BM77" t="e">
            <v>#N/A</v>
          </cell>
          <cell r="BN77">
            <v>84900</v>
          </cell>
          <cell r="BP77">
            <v>328680</v>
          </cell>
        </row>
        <row r="78">
          <cell r="C78">
            <v>2346</v>
          </cell>
          <cell r="D78" t="str">
            <v>Monteney Primary School</v>
          </cell>
          <cell r="E78">
            <v>109</v>
          </cell>
          <cell r="F78">
            <v>0</v>
          </cell>
          <cell r="G78">
            <v>0</v>
          </cell>
          <cell r="H78">
            <v>3</v>
          </cell>
          <cell r="I78">
            <v>143880</v>
          </cell>
          <cell r="J78">
            <v>0</v>
          </cell>
          <cell r="K78">
            <v>6900</v>
          </cell>
          <cell r="L78">
            <v>150780</v>
          </cell>
          <cell r="M78"/>
          <cell r="N78" t="str">
            <v>Recoupment Academy</v>
          </cell>
          <cell r="O78">
            <v>0</v>
          </cell>
          <cell r="P78" t="b">
            <v>1</v>
          </cell>
          <cell r="Q78">
            <v>0</v>
          </cell>
          <cell r="R78">
            <v>0</v>
          </cell>
          <cell r="S78">
            <v>0</v>
          </cell>
          <cell r="U78">
            <v>0</v>
          </cell>
          <cell r="V78">
            <v>108</v>
          </cell>
          <cell r="W78">
            <v>0</v>
          </cell>
          <cell r="X78">
            <v>0</v>
          </cell>
          <cell r="Y78">
            <v>3</v>
          </cell>
          <cell r="Z78">
            <v>0</v>
          </cell>
          <cell r="AA78">
            <v>0</v>
          </cell>
          <cell r="AB78" t="e">
            <v>#N/A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K78">
            <v>0</v>
          </cell>
          <cell r="AM78" t="e">
            <v>#REF!</v>
          </cell>
          <cell r="AN78" t="e">
            <v>#REF!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AZ78" t="e">
            <v>#REF!</v>
          </cell>
          <cell r="BA78" t="e">
            <v>#REF!</v>
          </cell>
          <cell r="BB78" t="e">
            <v>#REF!</v>
          </cell>
          <cell r="BC78" t="e">
            <v>#REF!</v>
          </cell>
          <cell r="BD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72356</v>
          </cell>
          <cell r="BM78" t="e">
            <v>#N/A</v>
          </cell>
          <cell r="BN78">
            <v>39675</v>
          </cell>
          <cell r="BP78">
            <v>146520</v>
          </cell>
        </row>
        <row r="79">
          <cell r="C79">
            <v>2257</v>
          </cell>
          <cell r="D79" t="str">
            <v>Mosborough Primary School</v>
          </cell>
          <cell r="E79">
            <v>64</v>
          </cell>
          <cell r="F79">
            <v>0</v>
          </cell>
          <cell r="G79">
            <v>2</v>
          </cell>
          <cell r="H79">
            <v>3</v>
          </cell>
          <cell r="I79">
            <v>84480</v>
          </cell>
          <cell r="J79">
            <v>600</v>
          </cell>
          <cell r="K79">
            <v>6900</v>
          </cell>
          <cell r="L79">
            <v>91980</v>
          </cell>
          <cell r="M79"/>
          <cell r="N79">
            <v>0</v>
          </cell>
          <cell r="O79">
            <v>0</v>
          </cell>
          <cell r="P79" t="b">
            <v>0</v>
          </cell>
          <cell r="Q79">
            <v>0</v>
          </cell>
          <cell r="R79">
            <v>12</v>
          </cell>
          <cell r="S79">
            <v>1320</v>
          </cell>
          <cell r="U79">
            <v>91980</v>
          </cell>
          <cell r="V79">
            <v>64</v>
          </cell>
          <cell r="W79">
            <v>0</v>
          </cell>
          <cell r="X79">
            <v>2</v>
          </cell>
          <cell r="Y79">
            <v>3</v>
          </cell>
          <cell r="Z79">
            <v>91980</v>
          </cell>
          <cell r="AA79">
            <v>0</v>
          </cell>
          <cell r="AB79">
            <v>0</v>
          </cell>
          <cell r="AC79">
            <v>19140</v>
          </cell>
          <cell r="AD79">
            <v>24280</v>
          </cell>
          <cell r="AE79">
            <v>24280</v>
          </cell>
          <cell r="AF79">
            <v>24280</v>
          </cell>
          <cell r="AG79">
            <v>0</v>
          </cell>
          <cell r="AK79">
            <v>76560</v>
          </cell>
          <cell r="AM79" t="e">
            <v>#REF!</v>
          </cell>
          <cell r="AN79" t="e">
            <v>#REF!</v>
          </cell>
          <cell r="AO79" t="e">
            <v>#REF!</v>
          </cell>
          <cell r="AP79" t="e">
            <v>#REF!</v>
          </cell>
          <cell r="AQ79" t="e">
            <v>#REF!</v>
          </cell>
          <cell r="AR79" t="e">
            <v>#REF!</v>
          </cell>
          <cell r="AS79" t="e">
            <v>#REF!</v>
          </cell>
          <cell r="AT79" t="e">
            <v>#REF!</v>
          </cell>
          <cell r="AV79" t="e">
            <v>#REF!</v>
          </cell>
          <cell r="AW79" t="e">
            <v>#REF!</v>
          </cell>
          <cell r="AX79" t="e">
            <v>#REF!</v>
          </cell>
          <cell r="AY79" t="e">
            <v>#REF!</v>
          </cell>
          <cell r="AZ79" t="e">
            <v>#REF!</v>
          </cell>
          <cell r="BA79" t="e">
            <v>#REF!</v>
          </cell>
          <cell r="BB79" t="e">
            <v>#REF!</v>
          </cell>
          <cell r="BC79" t="e">
            <v>#REF!</v>
          </cell>
          <cell r="BD79">
            <v>0</v>
          </cell>
          <cell r="BG79">
            <v>76260</v>
          </cell>
          <cell r="BH79">
            <v>-15720</v>
          </cell>
          <cell r="BI79">
            <v>0</v>
          </cell>
          <cell r="BJ79">
            <v>-67700</v>
          </cell>
          <cell r="BK79">
            <v>0</v>
          </cell>
          <cell r="BL79">
            <v>72358</v>
          </cell>
          <cell r="BM79" t="e">
            <v>#N/A</v>
          </cell>
          <cell r="BN79">
            <v>108660</v>
          </cell>
          <cell r="BP79">
            <v>76560</v>
          </cell>
        </row>
        <row r="80">
          <cell r="C80">
            <v>2092</v>
          </cell>
          <cell r="D80" t="str">
            <v>Mundella Primary School</v>
          </cell>
          <cell r="E80">
            <v>55</v>
          </cell>
          <cell r="F80">
            <v>0</v>
          </cell>
          <cell r="G80">
            <v>0</v>
          </cell>
          <cell r="H80">
            <v>7</v>
          </cell>
          <cell r="I80">
            <v>72600</v>
          </cell>
          <cell r="J80">
            <v>0</v>
          </cell>
          <cell r="K80">
            <v>16100</v>
          </cell>
          <cell r="L80">
            <v>88700</v>
          </cell>
          <cell r="M80"/>
          <cell r="N80">
            <v>0</v>
          </cell>
          <cell r="O80">
            <v>0</v>
          </cell>
          <cell r="P80" t="b">
            <v>0</v>
          </cell>
          <cell r="Q80">
            <v>0</v>
          </cell>
          <cell r="R80">
            <v>12</v>
          </cell>
          <cell r="S80">
            <v>1320</v>
          </cell>
          <cell r="U80">
            <v>88700</v>
          </cell>
          <cell r="V80">
            <v>55</v>
          </cell>
          <cell r="W80">
            <v>0</v>
          </cell>
          <cell r="X80">
            <v>0</v>
          </cell>
          <cell r="Y80">
            <v>7</v>
          </cell>
          <cell r="Z80">
            <v>88700</v>
          </cell>
          <cell r="AA80">
            <v>0</v>
          </cell>
          <cell r="AB80">
            <v>0</v>
          </cell>
          <cell r="AC80">
            <v>16170</v>
          </cell>
          <cell r="AD80">
            <v>24176.666666666668</v>
          </cell>
          <cell r="AE80">
            <v>24176.666666666664</v>
          </cell>
          <cell r="AF80">
            <v>24176.666666666664</v>
          </cell>
          <cell r="AG80">
            <v>0</v>
          </cell>
          <cell r="AK80">
            <v>64680</v>
          </cell>
          <cell r="AM80" t="e">
            <v>#REF!</v>
          </cell>
          <cell r="AN80" t="e">
            <v>#REF!</v>
          </cell>
          <cell r="AO80" t="e">
            <v>#REF!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 t="e">
            <v>#REF!</v>
          </cell>
          <cell r="AV80" t="e">
            <v>#REF!</v>
          </cell>
          <cell r="AW80" t="e">
            <v>#REF!</v>
          </cell>
          <cell r="AX80" t="e">
            <v>#REF!</v>
          </cell>
          <cell r="AY80" t="e">
            <v>#REF!</v>
          </cell>
          <cell r="AZ80" t="e">
            <v>#REF!</v>
          </cell>
          <cell r="BA80" t="e">
            <v>#REF!</v>
          </cell>
          <cell r="BB80" t="e">
            <v>#REF!</v>
          </cell>
          <cell r="BC80" t="e">
            <v>#REF!</v>
          </cell>
          <cell r="BD80">
            <v>0</v>
          </cell>
          <cell r="BG80">
            <v>74020</v>
          </cell>
          <cell r="BH80">
            <v>-14680</v>
          </cell>
          <cell r="BI80">
            <v>0</v>
          </cell>
          <cell r="BJ80">
            <v>-64523.333333333336</v>
          </cell>
          <cell r="BK80">
            <v>0</v>
          </cell>
          <cell r="BL80">
            <v>72359</v>
          </cell>
          <cell r="BM80" t="e">
            <v>#N/A</v>
          </cell>
          <cell r="BN80">
            <v>136500</v>
          </cell>
          <cell r="BP80">
            <v>64680</v>
          </cell>
        </row>
        <row r="81">
          <cell r="C81">
            <v>2221</v>
          </cell>
          <cell r="D81" t="str">
            <v>Nether Green Infant School</v>
          </cell>
          <cell r="E81">
            <v>10</v>
          </cell>
          <cell r="F81">
            <v>0</v>
          </cell>
          <cell r="G81">
            <v>0</v>
          </cell>
          <cell r="H81">
            <v>1</v>
          </cell>
          <cell r="I81">
            <v>13200</v>
          </cell>
          <cell r="J81">
            <v>0</v>
          </cell>
          <cell r="K81">
            <v>2300</v>
          </cell>
          <cell r="L81">
            <v>15500</v>
          </cell>
          <cell r="M81"/>
          <cell r="N81">
            <v>0</v>
          </cell>
          <cell r="O81">
            <v>0</v>
          </cell>
          <cell r="P81" t="b">
            <v>0</v>
          </cell>
          <cell r="Q81">
            <v>0</v>
          </cell>
          <cell r="R81">
            <v>12</v>
          </cell>
          <cell r="S81">
            <v>1320</v>
          </cell>
          <cell r="U81">
            <v>15500</v>
          </cell>
          <cell r="V81">
            <v>10</v>
          </cell>
          <cell r="W81">
            <v>0</v>
          </cell>
          <cell r="X81">
            <v>0</v>
          </cell>
          <cell r="Y81">
            <v>1</v>
          </cell>
          <cell r="Z81">
            <v>15500</v>
          </cell>
          <cell r="AA81">
            <v>0</v>
          </cell>
          <cell r="AB81">
            <v>0</v>
          </cell>
          <cell r="AC81">
            <v>1980</v>
          </cell>
          <cell r="AD81">
            <v>4506.666666666667</v>
          </cell>
          <cell r="AE81">
            <v>4506.6666666666661</v>
          </cell>
          <cell r="AF81">
            <v>4506.6666666666661</v>
          </cell>
          <cell r="AG81">
            <v>0</v>
          </cell>
          <cell r="AK81">
            <v>7920</v>
          </cell>
          <cell r="AM81" t="e">
            <v>#REF!</v>
          </cell>
          <cell r="AN81" t="e">
            <v>#REF!</v>
          </cell>
          <cell r="AO81" t="e">
            <v>#REF!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 t="e">
            <v>#REF!</v>
          </cell>
          <cell r="AV81" t="e">
            <v>#REF!</v>
          </cell>
          <cell r="AW81" t="e">
            <v>#REF!</v>
          </cell>
          <cell r="AX81" t="e">
            <v>#REF!</v>
          </cell>
          <cell r="AY81" t="e">
            <v>#REF!</v>
          </cell>
          <cell r="AZ81" t="e">
            <v>#REF!</v>
          </cell>
          <cell r="BA81" t="e">
            <v>#REF!</v>
          </cell>
          <cell r="BB81" t="e">
            <v>#REF!</v>
          </cell>
          <cell r="BC81" t="e">
            <v>#REF!</v>
          </cell>
          <cell r="BD81">
            <v>0</v>
          </cell>
          <cell r="BG81">
            <v>7760</v>
          </cell>
          <cell r="BH81">
            <v>-7740</v>
          </cell>
          <cell r="BI81">
            <v>0</v>
          </cell>
          <cell r="BJ81">
            <v>-10993.333333333332</v>
          </cell>
          <cell r="BK81">
            <v>0</v>
          </cell>
          <cell r="BL81">
            <v>72360</v>
          </cell>
          <cell r="BM81" t="e">
            <v>#N/A</v>
          </cell>
          <cell r="BN81">
            <v>58290</v>
          </cell>
          <cell r="BP81">
            <v>7920</v>
          </cell>
        </row>
        <row r="82">
          <cell r="C82">
            <v>2087</v>
          </cell>
          <cell r="D82" t="str">
            <v>Nether Green Junior School</v>
          </cell>
          <cell r="E82">
            <v>14</v>
          </cell>
          <cell r="F82">
            <v>0</v>
          </cell>
          <cell r="G82">
            <v>0</v>
          </cell>
          <cell r="H82">
            <v>5</v>
          </cell>
          <cell r="I82">
            <v>18480</v>
          </cell>
          <cell r="J82">
            <v>0</v>
          </cell>
          <cell r="K82">
            <v>11500</v>
          </cell>
          <cell r="L82">
            <v>29980</v>
          </cell>
          <cell r="M82"/>
          <cell r="N82">
            <v>0</v>
          </cell>
          <cell r="O82">
            <v>0</v>
          </cell>
          <cell r="P82" t="b">
            <v>0</v>
          </cell>
          <cell r="Q82">
            <v>0</v>
          </cell>
          <cell r="R82">
            <v>12</v>
          </cell>
          <cell r="S82">
            <v>1320</v>
          </cell>
          <cell r="U82">
            <v>29980</v>
          </cell>
          <cell r="V82">
            <v>14</v>
          </cell>
          <cell r="W82">
            <v>0</v>
          </cell>
          <cell r="X82">
            <v>0</v>
          </cell>
          <cell r="Y82">
            <v>5</v>
          </cell>
          <cell r="Z82">
            <v>29980</v>
          </cell>
          <cell r="AA82">
            <v>0</v>
          </cell>
          <cell r="AB82">
            <v>0</v>
          </cell>
          <cell r="AC82">
            <v>5940</v>
          </cell>
          <cell r="AD82">
            <v>8013.333333333333</v>
          </cell>
          <cell r="AE82">
            <v>8013.3333333333339</v>
          </cell>
          <cell r="AF82">
            <v>8013.3333333333339</v>
          </cell>
          <cell r="AG82">
            <v>0</v>
          </cell>
          <cell r="AK82">
            <v>23760</v>
          </cell>
          <cell r="AM82" t="e">
            <v>#REF!</v>
          </cell>
          <cell r="AN82" t="e">
            <v>#REF!</v>
          </cell>
          <cell r="AO82" t="e">
            <v>#REF!</v>
          </cell>
          <cell r="AP82" t="e">
            <v>#REF!</v>
          </cell>
          <cell r="AQ82" t="e">
            <v>#REF!</v>
          </cell>
          <cell r="AR82" t="e">
            <v>#REF!</v>
          </cell>
          <cell r="AS82" t="e">
            <v>#REF!</v>
          </cell>
          <cell r="AT82" t="e">
            <v>#REF!</v>
          </cell>
          <cell r="AV82" t="e">
            <v>#REF!</v>
          </cell>
          <cell r="AW82" t="e">
            <v>#REF!</v>
          </cell>
          <cell r="AX82" t="e">
            <v>#REF!</v>
          </cell>
          <cell r="AY82" t="e">
            <v>#REF!</v>
          </cell>
          <cell r="AZ82" t="e">
            <v>#REF!</v>
          </cell>
          <cell r="BA82" t="e">
            <v>#REF!</v>
          </cell>
          <cell r="BB82" t="e">
            <v>#REF!</v>
          </cell>
          <cell r="BC82" t="e">
            <v>#REF!</v>
          </cell>
          <cell r="BD82">
            <v>0</v>
          </cell>
          <cell r="BG82">
            <v>41180</v>
          </cell>
          <cell r="BH82">
            <v>11200</v>
          </cell>
          <cell r="BI82">
            <v>0</v>
          </cell>
          <cell r="BJ82">
            <v>-21966.666666666664</v>
          </cell>
          <cell r="BK82">
            <v>0</v>
          </cell>
          <cell r="BL82">
            <v>72361</v>
          </cell>
          <cell r="BM82" t="e">
            <v>#N/A</v>
          </cell>
          <cell r="BN82">
            <v>63045</v>
          </cell>
          <cell r="BP82">
            <v>23760</v>
          </cell>
        </row>
        <row r="83">
          <cell r="C83">
            <v>2272</v>
          </cell>
          <cell r="D83" t="str">
            <v>Netherthorpe Primary School</v>
          </cell>
          <cell r="E83">
            <v>100</v>
          </cell>
          <cell r="F83">
            <v>0</v>
          </cell>
          <cell r="G83">
            <v>0</v>
          </cell>
          <cell r="H83">
            <v>0</v>
          </cell>
          <cell r="I83">
            <v>132000</v>
          </cell>
          <cell r="J83">
            <v>0</v>
          </cell>
          <cell r="K83">
            <v>0</v>
          </cell>
          <cell r="L83">
            <v>132000</v>
          </cell>
          <cell r="M83"/>
          <cell r="N83">
            <v>0</v>
          </cell>
          <cell r="O83">
            <v>0</v>
          </cell>
          <cell r="P83" t="b">
            <v>0</v>
          </cell>
          <cell r="Q83">
            <v>0</v>
          </cell>
          <cell r="R83">
            <v>12</v>
          </cell>
          <cell r="S83">
            <v>1320</v>
          </cell>
          <cell r="U83">
            <v>132000</v>
          </cell>
          <cell r="V83">
            <v>100</v>
          </cell>
          <cell r="W83">
            <v>0</v>
          </cell>
          <cell r="X83">
            <v>0</v>
          </cell>
          <cell r="Y83">
            <v>0</v>
          </cell>
          <cell r="Z83">
            <v>132000</v>
          </cell>
          <cell r="AA83">
            <v>0</v>
          </cell>
          <cell r="AB83">
            <v>0</v>
          </cell>
          <cell r="AC83">
            <v>32340</v>
          </cell>
          <cell r="AD83">
            <v>33220</v>
          </cell>
          <cell r="AE83">
            <v>33220</v>
          </cell>
          <cell r="AF83">
            <v>33220</v>
          </cell>
          <cell r="AG83">
            <v>0</v>
          </cell>
          <cell r="AK83">
            <v>129360</v>
          </cell>
          <cell r="AM83" t="e">
            <v>#REF!</v>
          </cell>
          <cell r="AN83" t="e">
            <v>#REF!</v>
          </cell>
          <cell r="AO83" t="e">
            <v>#REF!</v>
          </cell>
          <cell r="AP83" t="e">
            <v>#REF!</v>
          </cell>
          <cell r="AQ83" t="e">
            <v>#REF!</v>
          </cell>
          <cell r="AR83" t="e">
            <v>#REF!</v>
          </cell>
          <cell r="AS83" t="e">
            <v>#REF!</v>
          </cell>
          <cell r="AT83" t="e">
            <v>#REF!</v>
          </cell>
          <cell r="AV83" t="e">
            <v>#REF!</v>
          </cell>
          <cell r="AW83" t="e">
            <v>#REF!</v>
          </cell>
          <cell r="AX83" t="e">
            <v>#REF!</v>
          </cell>
          <cell r="AY83" t="e">
            <v>#REF!</v>
          </cell>
          <cell r="AZ83" t="e">
            <v>#REF!</v>
          </cell>
          <cell r="BA83" t="e">
            <v>#REF!</v>
          </cell>
          <cell r="BB83" t="e">
            <v>#REF!</v>
          </cell>
          <cell r="BC83" t="e">
            <v>#REF!</v>
          </cell>
          <cell r="BD83">
            <v>0</v>
          </cell>
          <cell r="BG83">
            <v>108240</v>
          </cell>
          <cell r="BH83">
            <v>-23760</v>
          </cell>
          <cell r="BI83">
            <v>0</v>
          </cell>
          <cell r="BJ83">
            <v>-98780</v>
          </cell>
          <cell r="BK83">
            <v>0</v>
          </cell>
          <cell r="BL83">
            <v>72363</v>
          </cell>
          <cell r="BM83" t="e">
            <v>#N/A</v>
          </cell>
          <cell r="BN83">
            <v>110260</v>
          </cell>
          <cell r="BP83">
            <v>129360</v>
          </cell>
        </row>
        <row r="84">
          <cell r="C84">
            <v>2309</v>
          </cell>
          <cell r="D84" t="str">
            <v>Nook Lane Junior School</v>
          </cell>
          <cell r="E84">
            <v>30</v>
          </cell>
          <cell r="F84">
            <v>0</v>
          </cell>
          <cell r="G84">
            <v>0</v>
          </cell>
          <cell r="H84">
            <v>4</v>
          </cell>
          <cell r="I84">
            <v>39600</v>
          </cell>
          <cell r="J84">
            <v>0</v>
          </cell>
          <cell r="K84">
            <v>9200</v>
          </cell>
          <cell r="L84">
            <v>48800</v>
          </cell>
          <cell r="M84"/>
          <cell r="N84">
            <v>0</v>
          </cell>
          <cell r="O84">
            <v>0</v>
          </cell>
          <cell r="P84" t="b">
            <v>0</v>
          </cell>
          <cell r="Q84">
            <v>0</v>
          </cell>
          <cell r="R84">
            <v>12</v>
          </cell>
          <cell r="S84">
            <v>1320</v>
          </cell>
          <cell r="U84">
            <v>48800</v>
          </cell>
          <cell r="V84">
            <v>30</v>
          </cell>
          <cell r="W84">
            <v>0</v>
          </cell>
          <cell r="X84">
            <v>0</v>
          </cell>
          <cell r="Y84">
            <v>4</v>
          </cell>
          <cell r="Z84">
            <v>48800</v>
          </cell>
          <cell r="AA84">
            <v>0</v>
          </cell>
          <cell r="AB84">
            <v>0</v>
          </cell>
          <cell r="AC84">
            <v>11220</v>
          </cell>
          <cell r="AD84">
            <v>12526.666666666666</v>
          </cell>
          <cell r="AE84">
            <v>12853</v>
          </cell>
          <cell r="AF84">
            <v>12200</v>
          </cell>
          <cell r="AG84">
            <v>-0.33333333333575865</v>
          </cell>
          <cell r="AK84">
            <v>44880</v>
          </cell>
          <cell r="AM84" t="e">
            <v>#REF!</v>
          </cell>
          <cell r="AN84" t="e">
            <v>#REF!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V84" t="e">
            <v>#REF!</v>
          </cell>
          <cell r="AW84" t="e">
            <v>#REF!</v>
          </cell>
          <cell r="AX84" t="e">
            <v>#REF!</v>
          </cell>
          <cell r="AY84" t="e">
            <v>#REF!</v>
          </cell>
          <cell r="AZ84" t="e">
            <v>#REF!</v>
          </cell>
          <cell r="BA84" t="e">
            <v>#REF!</v>
          </cell>
          <cell r="BB84" t="e">
            <v>#REF!</v>
          </cell>
          <cell r="BC84" t="e">
            <v>#REF!</v>
          </cell>
          <cell r="BD84">
            <v>0</v>
          </cell>
          <cell r="BG84">
            <v>49840</v>
          </cell>
          <cell r="BH84">
            <v>1040</v>
          </cell>
          <cell r="BI84">
            <v>0</v>
          </cell>
          <cell r="BJ84">
            <v>-36599.666666666664</v>
          </cell>
          <cell r="BK84">
            <v>0</v>
          </cell>
          <cell r="BL84">
            <v>72364</v>
          </cell>
          <cell r="BM84" t="e">
            <v>#N/A</v>
          </cell>
          <cell r="BN84">
            <v>27600</v>
          </cell>
          <cell r="BP84">
            <v>44880</v>
          </cell>
        </row>
        <row r="85">
          <cell r="C85">
            <v>2051</v>
          </cell>
          <cell r="D85" t="str">
            <v>Norfolk Primary School</v>
          </cell>
          <cell r="E85">
            <v>192</v>
          </cell>
          <cell r="F85">
            <v>0</v>
          </cell>
          <cell r="G85">
            <v>0</v>
          </cell>
          <cell r="H85">
            <v>1</v>
          </cell>
          <cell r="I85">
            <v>253440</v>
          </cell>
          <cell r="J85">
            <v>0</v>
          </cell>
          <cell r="K85">
            <v>2300</v>
          </cell>
          <cell r="L85">
            <v>255740</v>
          </cell>
          <cell r="M85"/>
          <cell r="N85" t="str">
            <v>Recoupment Academy</v>
          </cell>
          <cell r="O85">
            <v>0</v>
          </cell>
          <cell r="P85" t="b">
            <v>1</v>
          </cell>
          <cell r="Q85">
            <v>0</v>
          </cell>
          <cell r="R85">
            <v>0</v>
          </cell>
          <cell r="S85">
            <v>0</v>
          </cell>
          <cell r="U85">
            <v>0</v>
          </cell>
          <cell r="V85">
            <v>191</v>
          </cell>
          <cell r="W85">
            <v>0</v>
          </cell>
          <cell r="X85">
            <v>0</v>
          </cell>
          <cell r="Y85">
            <v>1</v>
          </cell>
          <cell r="Z85">
            <v>0</v>
          </cell>
          <cell r="AA85">
            <v>0</v>
          </cell>
          <cell r="AB85" t="e">
            <v>#N/A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K85">
            <v>0</v>
          </cell>
          <cell r="AM85" t="e">
            <v>#REF!</v>
          </cell>
          <cell r="AN85" t="e">
            <v>#REF!</v>
          </cell>
          <cell r="AO85" t="e">
            <v>#REF!</v>
          </cell>
          <cell r="AP85" t="e">
            <v>#REF!</v>
          </cell>
          <cell r="AQ85" t="e">
            <v>#REF!</v>
          </cell>
          <cell r="AR85" t="e">
            <v>#REF!</v>
          </cell>
          <cell r="AS85" t="e">
            <v>#REF!</v>
          </cell>
          <cell r="AT85" t="e">
            <v>#REF!</v>
          </cell>
          <cell r="AV85" t="e">
            <v>#REF!</v>
          </cell>
          <cell r="AW85" t="e">
            <v>#REF!</v>
          </cell>
          <cell r="AX85" t="e">
            <v>#REF!</v>
          </cell>
          <cell r="AY85" t="e">
            <v>#REF!</v>
          </cell>
          <cell r="AZ85" t="e">
            <v>#REF!</v>
          </cell>
          <cell r="BA85" t="e">
            <v>#REF!</v>
          </cell>
          <cell r="BB85" t="e">
            <v>#REF!</v>
          </cell>
          <cell r="BC85" t="e">
            <v>#REF!</v>
          </cell>
          <cell r="BD85">
            <v>0</v>
          </cell>
          <cell r="BG85">
            <v>257400</v>
          </cell>
          <cell r="BH85">
            <v>257400</v>
          </cell>
          <cell r="BI85">
            <v>0</v>
          </cell>
          <cell r="BJ85">
            <v>0</v>
          </cell>
          <cell r="BK85">
            <v>0</v>
          </cell>
          <cell r="BL85">
            <v>72365</v>
          </cell>
          <cell r="BM85" t="e">
            <v>#N/A</v>
          </cell>
          <cell r="BN85">
            <v>83600</v>
          </cell>
          <cell r="BP85">
            <v>260040</v>
          </cell>
        </row>
        <row r="86">
          <cell r="C86">
            <v>3010</v>
          </cell>
          <cell r="D86" t="str">
            <v>Norton Free C of E School</v>
          </cell>
          <cell r="E86">
            <v>24</v>
          </cell>
          <cell r="F86">
            <v>0</v>
          </cell>
          <cell r="G86">
            <v>0</v>
          </cell>
          <cell r="H86">
            <v>7</v>
          </cell>
          <cell r="I86">
            <v>31680</v>
          </cell>
          <cell r="J86">
            <v>0</v>
          </cell>
          <cell r="K86">
            <v>16100</v>
          </cell>
          <cell r="L86">
            <v>47780</v>
          </cell>
          <cell r="M86"/>
          <cell r="N86">
            <v>0</v>
          </cell>
          <cell r="O86">
            <v>0</v>
          </cell>
          <cell r="P86" t="b">
            <v>0</v>
          </cell>
          <cell r="Q86">
            <v>0</v>
          </cell>
          <cell r="R86">
            <v>12</v>
          </cell>
          <cell r="S86">
            <v>1320</v>
          </cell>
          <cell r="U86">
            <v>47780</v>
          </cell>
          <cell r="V86">
            <v>24</v>
          </cell>
          <cell r="W86">
            <v>0</v>
          </cell>
          <cell r="X86">
            <v>0</v>
          </cell>
          <cell r="Y86">
            <v>7</v>
          </cell>
          <cell r="Z86">
            <v>47780</v>
          </cell>
          <cell r="AA86">
            <v>0</v>
          </cell>
          <cell r="AB86">
            <v>0</v>
          </cell>
          <cell r="AC86">
            <v>8580</v>
          </cell>
          <cell r="AD86">
            <v>13066.666666666666</v>
          </cell>
          <cell r="AE86">
            <v>13066.666666666668</v>
          </cell>
          <cell r="AF86">
            <v>13066.666666666668</v>
          </cell>
          <cell r="AG86">
            <v>0</v>
          </cell>
          <cell r="AK86">
            <v>34320</v>
          </cell>
          <cell r="AM86" t="e">
            <v>#REF!</v>
          </cell>
          <cell r="AN86" t="e">
            <v>#REF!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V86" t="e">
            <v>#REF!</v>
          </cell>
          <cell r="AW86" t="e">
            <v>#REF!</v>
          </cell>
          <cell r="AX86" t="e">
            <v>#REF!</v>
          </cell>
          <cell r="AY86" t="e">
            <v>#REF!</v>
          </cell>
          <cell r="AZ86" t="e">
            <v>#REF!</v>
          </cell>
          <cell r="BA86" t="e">
            <v>#REF!</v>
          </cell>
          <cell r="BB86" t="e">
            <v>#REF!</v>
          </cell>
          <cell r="BC86" t="e">
            <v>#REF!</v>
          </cell>
          <cell r="BD86">
            <v>0</v>
          </cell>
          <cell r="BG86">
            <v>39860</v>
          </cell>
          <cell r="BH86">
            <v>-7920</v>
          </cell>
          <cell r="BI86">
            <v>0</v>
          </cell>
          <cell r="BJ86">
            <v>-34713.333333333328</v>
          </cell>
          <cell r="BK86">
            <v>0</v>
          </cell>
          <cell r="BL86">
            <v>72366</v>
          </cell>
          <cell r="BM86" t="e">
            <v>#N/A</v>
          </cell>
          <cell r="BN86">
            <v>209880</v>
          </cell>
          <cell r="BP86">
            <v>34320</v>
          </cell>
        </row>
        <row r="87">
          <cell r="C87">
            <v>2018</v>
          </cell>
          <cell r="D87" t="str">
            <v>Oasis Academy Fir Vale</v>
          </cell>
          <cell r="E87">
            <v>212</v>
          </cell>
          <cell r="F87">
            <v>0</v>
          </cell>
          <cell r="G87">
            <v>0</v>
          </cell>
          <cell r="H87">
            <v>0</v>
          </cell>
          <cell r="I87">
            <v>279840</v>
          </cell>
          <cell r="J87">
            <v>0</v>
          </cell>
          <cell r="K87">
            <v>0</v>
          </cell>
          <cell r="L87">
            <v>279840</v>
          </cell>
          <cell r="M87"/>
          <cell r="N87" t="str">
            <v>Recoupment Academy</v>
          </cell>
          <cell r="O87">
            <v>0</v>
          </cell>
          <cell r="P87" t="b">
            <v>1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212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#N/A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K87">
            <v>0</v>
          </cell>
          <cell r="AM87" t="e">
            <v>#REF!</v>
          </cell>
          <cell r="AN87" t="e">
            <v>#REF!</v>
          </cell>
          <cell r="AO87" t="e">
            <v>#REF!</v>
          </cell>
          <cell r="AP87" t="e">
            <v>#REF!</v>
          </cell>
          <cell r="AQ87" t="e">
            <v>#REF!</v>
          </cell>
          <cell r="AR87" t="e">
            <v>#REF!</v>
          </cell>
          <cell r="AS87" t="e">
            <v>#REF!</v>
          </cell>
          <cell r="AT87" t="e">
            <v>#REF!</v>
          </cell>
          <cell r="AV87" t="e">
            <v>#REF!</v>
          </cell>
          <cell r="AW87" t="e">
            <v>#REF!</v>
          </cell>
          <cell r="AX87" t="e">
            <v>#REF!</v>
          </cell>
          <cell r="AY87" t="e">
            <v>#REF!</v>
          </cell>
          <cell r="AZ87" t="e">
            <v>#REF!</v>
          </cell>
          <cell r="BA87" t="e">
            <v>#REF!</v>
          </cell>
          <cell r="BB87" t="e">
            <v>#REF!</v>
          </cell>
          <cell r="BC87" t="e">
            <v>#REF!</v>
          </cell>
          <cell r="BD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72368</v>
          </cell>
          <cell r="BM87" t="e">
            <v>#N/A</v>
          </cell>
          <cell r="BN87">
            <v>81400</v>
          </cell>
          <cell r="BP87">
            <v>202620</v>
          </cell>
        </row>
        <row r="88">
          <cell r="C88">
            <v>2019</v>
          </cell>
          <cell r="D88" t="str">
            <v>Oasis Academy Watermead</v>
          </cell>
          <cell r="E88">
            <v>140</v>
          </cell>
          <cell r="F88">
            <v>0</v>
          </cell>
          <cell r="G88">
            <v>1</v>
          </cell>
          <cell r="H88">
            <v>0</v>
          </cell>
          <cell r="I88">
            <v>184800</v>
          </cell>
          <cell r="J88">
            <v>300</v>
          </cell>
          <cell r="K88">
            <v>0</v>
          </cell>
          <cell r="L88">
            <v>185100</v>
          </cell>
          <cell r="M88"/>
          <cell r="N88" t="str">
            <v>Recoupment Academy</v>
          </cell>
          <cell r="O88">
            <v>0</v>
          </cell>
          <cell r="P88" t="b">
            <v>1</v>
          </cell>
          <cell r="Q88">
            <v>0</v>
          </cell>
          <cell r="R88">
            <v>0</v>
          </cell>
          <cell r="S88">
            <v>0</v>
          </cell>
          <cell r="U88">
            <v>0</v>
          </cell>
          <cell r="V88">
            <v>140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 t="e">
            <v>#N/A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K88">
            <v>0</v>
          </cell>
          <cell r="AM88" t="e">
            <v>#REF!</v>
          </cell>
          <cell r="AN88" t="e">
            <v>#REF!</v>
          </cell>
          <cell r="AO88" t="e">
            <v>#REF!</v>
          </cell>
          <cell r="AP88" t="e">
            <v>#REF!</v>
          </cell>
          <cell r="AQ88" t="e">
            <v>#REF!</v>
          </cell>
          <cell r="AR88" t="e">
            <v>#REF!</v>
          </cell>
          <cell r="AS88" t="e">
            <v>#REF!</v>
          </cell>
          <cell r="AT88" t="e">
            <v>#REF!</v>
          </cell>
          <cell r="AV88" t="e">
            <v>#REF!</v>
          </cell>
          <cell r="AW88" t="e">
            <v>#REF!</v>
          </cell>
          <cell r="AX88" t="e">
            <v>#REF!</v>
          </cell>
          <cell r="AY88" t="e">
            <v>#REF!</v>
          </cell>
          <cell r="AZ88" t="e">
            <v>#REF!</v>
          </cell>
          <cell r="BA88" t="e">
            <v>#REF!</v>
          </cell>
          <cell r="BB88" t="e">
            <v>#REF!</v>
          </cell>
          <cell r="BC88" t="e">
            <v>#REF!</v>
          </cell>
          <cell r="BD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72369</v>
          </cell>
          <cell r="BM88" t="e">
            <v>#N/A</v>
          </cell>
          <cell r="BN88">
            <v>148500</v>
          </cell>
          <cell r="BP88">
            <v>143880</v>
          </cell>
        </row>
        <row r="89">
          <cell r="C89">
            <v>2313</v>
          </cell>
          <cell r="D89" t="str">
            <v>OUGHTIBRIDGE PRIMARY SCHOOL</v>
          </cell>
          <cell r="E89">
            <v>32</v>
          </cell>
          <cell r="F89">
            <v>0</v>
          </cell>
          <cell r="G89">
            <v>0</v>
          </cell>
          <cell r="H89">
            <v>5</v>
          </cell>
          <cell r="I89">
            <v>42240</v>
          </cell>
          <cell r="J89">
            <v>0</v>
          </cell>
          <cell r="K89">
            <v>11500</v>
          </cell>
          <cell r="L89">
            <v>53740</v>
          </cell>
          <cell r="M89"/>
          <cell r="N89">
            <v>0</v>
          </cell>
          <cell r="O89">
            <v>0</v>
          </cell>
          <cell r="P89" t="b">
            <v>0</v>
          </cell>
          <cell r="Q89">
            <v>0</v>
          </cell>
          <cell r="R89">
            <v>12</v>
          </cell>
          <cell r="S89">
            <v>1320</v>
          </cell>
          <cell r="U89">
            <v>53740</v>
          </cell>
          <cell r="V89">
            <v>32</v>
          </cell>
          <cell r="W89">
            <v>0</v>
          </cell>
          <cell r="X89">
            <v>0</v>
          </cell>
          <cell r="Y89">
            <v>5</v>
          </cell>
          <cell r="Z89">
            <v>53740</v>
          </cell>
          <cell r="AA89">
            <v>0</v>
          </cell>
          <cell r="AB89">
            <v>0</v>
          </cell>
          <cell r="AC89">
            <v>9240</v>
          </cell>
          <cell r="AD89">
            <v>14833.333333333334</v>
          </cell>
          <cell r="AE89">
            <v>8116</v>
          </cell>
          <cell r="AF89">
            <v>21551</v>
          </cell>
          <cell r="AG89">
            <v>0.33333333333575865</v>
          </cell>
          <cell r="AK89">
            <v>36960</v>
          </cell>
          <cell r="AM89" t="e">
            <v>#REF!</v>
          </cell>
          <cell r="AN89" t="e">
            <v>#REF!</v>
          </cell>
          <cell r="AO89" t="e">
            <v>#REF!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 t="e">
            <v>#REF!</v>
          </cell>
          <cell r="AV89" t="e">
            <v>#REF!</v>
          </cell>
          <cell r="AW89" t="e">
            <v>#REF!</v>
          </cell>
          <cell r="AX89" t="e">
            <v>#REF!</v>
          </cell>
          <cell r="AY89" t="e">
            <v>#REF!</v>
          </cell>
          <cell r="AZ89" t="e">
            <v>#REF!</v>
          </cell>
          <cell r="BA89" t="e">
            <v>#REF!</v>
          </cell>
          <cell r="BB89" t="e">
            <v>#REF!</v>
          </cell>
          <cell r="BC89" t="e">
            <v>#REF!</v>
          </cell>
          <cell r="BD89">
            <v>0</v>
          </cell>
          <cell r="BG89">
            <v>0</v>
          </cell>
          <cell r="BH89">
            <v>-53740</v>
          </cell>
          <cell r="BI89">
            <v>0</v>
          </cell>
          <cell r="BJ89">
            <v>-32189.333333333336</v>
          </cell>
          <cell r="BK89">
            <v>0</v>
          </cell>
          <cell r="BL89">
            <v>73008</v>
          </cell>
          <cell r="BM89" t="e">
            <v>#N/A</v>
          </cell>
          <cell r="BN89">
            <v>25500</v>
          </cell>
          <cell r="BP89">
            <v>36960</v>
          </cell>
        </row>
        <row r="90">
          <cell r="C90">
            <v>2093</v>
          </cell>
          <cell r="D90" t="str">
            <v>Owler Brook</v>
          </cell>
          <cell r="E90">
            <v>248</v>
          </cell>
          <cell r="F90">
            <v>0</v>
          </cell>
          <cell r="G90">
            <v>0</v>
          </cell>
          <cell r="H90">
            <v>0</v>
          </cell>
          <cell r="I90">
            <v>327360</v>
          </cell>
          <cell r="J90">
            <v>0</v>
          </cell>
          <cell r="K90">
            <v>0</v>
          </cell>
          <cell r="L90">
            <v>327360</v>
          </cell>
          <cell r="M90"/>
          <cell r="N90">
            <v>0</v>
          </cell>
          <cell r="O90">
            <v>0</v>
          </cell>
          <cell r="P90" t="b">
            <v>0</v>
          </cell>
          <cell r="Q90">
            <v>0</v>
          </cell>
          <cell r="R90">
            <v>12</v>
          </cell>
          <cell r="S90">
            <v>1320</v>
          </cell>
          <cell r="U90">
            <v>327360</v>
          </cell>
          <cell r="V90">
            <v>248</v>
          </cell>
          <cell r="W90">
            <v>0</v>
          </cell>
          <cell r="X90">
            <v>0</v>
          </cell>
          <cell r="Y90">
            <v>0</v>
          </cell>
          <cell r="Z90">
            <v>327360</v>
          </cell>
          <cell r="AA90">
            <v>0</v>
          </cell>
          <cell r="AB90">
            <v>0</v>
          </cell>
          <cell r="AC90">
            <v>81180</v>
          </cell>
          <cell r="AD90">
            <v>82060</v>
          </cell>
          <cell r="AE90">
            <v>82060</v>
          </cell>
          <cell r="AF90">
            <v>82060</v>
          </cell>
          <cell r="AG90">
            <v>0</v>
          </cell>
          <cell r="AK90">
            <v>324720</v>
          </cell>
          <cell r="AM90" t="e">
            <v>#REF!</v>
          </cell>
          <cell r="AN90" t="e">
            <v>#REF!</v>
          </cell>
          <cell r="AO90" t="e">
            <v>#REF!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 t="e">
            <v>#REF!</v>
          </cell>
          <cell r="AV90" t="e">
            <v>#REF!</v>
          </cell>
          <cell r="AW90" t="e">
            <v>#REF!</v>
          </cell>
          <cell r="AX90" t="e">
            <v>#REF!</v>
          </cell>
          <cell r="AY90" t="e">
            <v>#REF!</v>
          </cell>
          <cell r="AZ90" t="e">
            <v>#REF!</v>
          </cell>
          <cell r="BA90" t="e">
            <v>#REF!</v>
          </cell>
          <cell r="BB90" t="e">
            <v>#REF!</v>
          </cell>
          <cell r="BC90" t="e">
            <v>#REF!</v>
          </cell>
          <cell r="BD90">
            <v>0</v>
          </cell>
          <cell r="BG90">
            <v>37960</v>
          </cell>
          <cell r="BH90">
            <v>-289400</v>
          </cell>
          <cell r="BI90">
            <v>0</v>
          </cell>
          <cell r="BJ90">
            <v>-245300</v>
          </cell>
          <cell r="BK90">
            <v>0</v>
          </cell>
          <cell r="BL90">
            <v>73010</v>
          </cell>
          <cell r="BM90" t="e">
            <v>#N/A</v>
          </cell>
          <cell r="BN90">
            <v>29895</v>
          </cell>
          <cell r="BP90">
            <v>324720</v>
          </cell>
        </row>
        <row r="91">
          <cell r="C91">
            <v>3428</v>
          </cell>
          <cell r="D91" t="str">
            <v>Parson Cross Primary School</v>
          </cell>
          <cell r="E91">
            <v>40</v>
          </cell>
          <cell r="F91">
            <v>0</v>
          </cell>
          <cell r="G91">
            <v>0</v>
          </cell>
          <cell r="H91">
            <v>5</v>
          </cell>
          <cell r="I91">
            <v>52800</v>
          </cell>
          <cell r="J91">
            <v>0</v>
          </cell>
          <cell r="K91">
            <v>11500</v>
          </cell>
          <cell r="L91">
            <v>64300</v>
          </cell>
          <cell r="M91"/>
          <cell r="N91">
            <v>0</v>
          </cell>
          <cell r="O91">
            <v>0</v>
          </cell>
          <cell r="P91" t="b">
            <v>0</v>
          </cell>
          <cell r="Q91">
            <v>0</v>
          </cell>
          <cell r="R91">
            <v>12</v>
          </cell>
          <cell r="S91">
            <v>1320</v>
          </cell>
          <cell r="U91">
            <v>64300</v>
          </cell>
          <cell r="V91">
            <v>40</v>
          </cell>
          <cell r="W91">
            <v>0</v>
          </cell>
          <cell r="X91">
            <v>0</v>
          </cell>
          <cell r="Y91">
            <v>5</v>
          </cell>
          <cell r="Z91">
            <v>64300</v>
          </cell>
          <cell r="AA91">
            <v>0</v>
          </cell>
          <cell r="AB91">
            <v>0</v>
          </cell>
          <cell r="AC91">
            <v>13200</v>
          </cell>
          <cell r="AD91">
            <v>17033.333333333332</v>
          </cell>
          <cell r="AE91">
            <v>17033.333333333336</v>
          </cell>
          <cell r="AF91">
            <v>17033.333333333336</v>
          </cell>
          <cell r="AG91">
            <v>0</v>
          </cell>
          <cell r="AK91">
            <v>52800</v>
          </cell>
          <cell r="AM91" t="e">
            <v>#REF!</v>
          </cell>
          <cell r="AN91" t="e">
            <v>#REF!</v>
          </cell>
          <cell r="AO91" t="e">
            <v>#REF!</v>
          </cell>
          <cell r="AP91" t="e">
            <v>#REF!</v>
          </cell>
          <cell r="AQ91" t="e">
            <v>#REF!</v>
          </cell>
          <cell r="AR91" t="e">
            <v>#REF!</v>
          </cell>
          <cell r="AS91" t="e">
            <v>#REF!</v>
          </cell>
          <cell r="AT91" t="e">
            <v>#REF!</v>
          </cell>
          <cell r="AV91" t="e">
            <v>#REF!</v>
          </cell>
          <cell r="AW91" t="e">
            <v>#REF!</v>
          </cell>
          <cell r="AX91" t="e">
            <v>#REF!</v>
          </cell>
          <cell r="AY91" t="e">
            <v>#REF!</v>
          </cell>
          <cell r="AZ91" t="e">
            <v>#REF!</v>
          </cell>
          <cell r="BA91" t="e">
            <v>#REF!</v>
          </cell>
          <cell r="BB91" t="e">
            <v>#REF!</v>
          </cell>
          <cell r="BC91" t="e">
            <v>#REF!</v>
          </cell>
          <cell r="BD91">
            <v>0</v>
          </cell>
          <cell r="BG91">
            <v>293040</v>
          </cell>
          <cell r="BH91">
            <v>228740</v>
          </cell>
          <cell r="BI91">
            <v>0</v>
          </cell>
          <cell r="BJ91">
            <v>-47266.666666666672</v>
          </cell>
          <cell r="BK91">
            <v>0</v>
          </cell>
          <cell r="BL91">
            <v>73422</v>
          </cell>
          <cell r="BM91" t="e">
            <v>#N/A</v>
          </cell>
          <cell r="BN91">
            <v>39600</v>
          </cell>
          <cell r="BP91">
            <v>52800</v>
          </cell>
        </row>
        <row r="92">
          <cell r="C92">
            <v>2016</v>
          </cell>
          <cell r="D92" t="str">
            <v>Pathways Academy E-ACT</v>
          </cell>
          <cell r="E92">
            <v>253</v>
          </cell>
          <cell r="F92">
            <v>0</v>
          </cell>
          <cell r="G92">
            <v>0</v>
          </cell>
          <cell r="H92">
            <v>0</v>
          </cell>
          <cell r="I92">
            <v>333960</v>
          </cell>
          <cell r="J92">
            <v>0</v>
          </cell>
          <cell r="K92">
            <v>0</v>
          </cell>
          <cell r="L92">
            <v>333960</v>
          </cell>
          <cell r="M92"/>
          <cell r="N92" t="str">
            <v>Recoupment Academy</v>
          </cell>
          <cell r="O92">
            <v>0</v>
          </cell>
          <cell r="P92" t="b">
            <v>1</v>
          </cell>
          <cell r="Q92">
            <v>0</v>
          </cell>
          <cell r="R92">
            <v>0</v>
          </cell>
          <cell r="S92">
            <v>0</v>
          </cell>
          <cell r="U92">
            <v>0</v>
          </cell>
          <cell r="V92">
            <v>251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 t="e">
            <v>#N/A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K92">
            <v>0</v>
          </cell>
          <cell r="AM92" t="e">
            <v>#REF!</v>
          </cell>
          <cell r="AN92" t="e">
            <v>#REF!</v>
          </cell>
          <cell r="AO92" t="e">
            <v>#REF!</v>
          </cell>
          <cell r="AP92" t="e">
            <v>#REF!</v>
          </cell>
          <cell r="AQ92" t="e">
            <v>#REF!</v>
          </cell>
          <cell r="AR92" t="e">
            <v>#REF!</v>
          </cell>
          <cell r="AS92" t="e">
            <v>#REF!</v>
          </cell>
          <cell r="AT92" t="e">
            <v>#REF!</v>
          </cell>
          <cell r="AV92" t="e">
            <v>#REF!</v>
          </cell>
          <cell r="AW92" t="e">
            <v>#REF!</v>
          </cell>
          <cell r="AX92" t="e">
            <v>#REF!</v>
          </cell>
          <cell r="AY92" t="e">
            <v>#REF!</v>
          </cell>
          <cell r="AZ92" t="e">
            <v>#REF!</v>
          </cell>
          <cell r="BA92" t="e">
            <v>#REF!</v>
          </cell>
          <cell r="BB92" t="e">
            <v>#REF!</v>
          </cell>
          <cell r="BC92" t="e">
            <v>#REF!</v>
          </cell>
          <cell r="BD92">
            <v>0</v>
          </cell>
          <cell r="BG92">
            <v>64360</v>
          </cell>
          <cell r="BH92">
            <v>64360</v>
          </cell>
          <cell r="BI92">
            <v>0</v>
          </cell>
          <cell r="BJ92">
            <v>0</v>
          </cell>
          <cell r="BK92">
            <v>0</v>
          </cell>
          <cell r="BL92">
            <v>73428</v>
          </cell>
          <cell r="BM92" t="e">
            <v>#N/A</v>
          </cell>
          <cell r="BN92">
            <v>48270</v>
          </cell>
          <cell r="BP92">
            <v>340560</v>
          </cell>
        </row>
        <row r="93">
          <cell r="C93">
            <v>2332</v>
          </cell>
          <cell r="D93" t="str">
            <v>Phillimore Comm Primary School</v>
          </cell>
          <cell r="E93">
            <v>188</v>
          </cell>
          <cell r="F93">
            <v>0</v>
          </cell>
          <cell r="G93">
            <v>0</v>
          </cell>
          <cell r="H93">
            <v>0</v>
          </cell>
          <cell r="I93">
            <v>248160</v>
          </cell>
          <cell r="J93">
            <v>0</v>
          </cell>
          <cell r="K93">
            <v>0</v>
          </cell>
          <cell r="L93">
            <v>248160</v>
          </cell>
          <cell r="M93"/>
          <cell r="N93" t="str">
            <v>Recoupment Academy</v>
          </cell>
          <cell r="O93">
            <v>0</v>
          </cell>
          <cell r="P93" t="b">
            <v>1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188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 t="e">
            <v>#N/A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K93">
            <v>0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AR93" t="e">
            <v>#REF!</v>
          </cell>
          <cell r="AS93" t="e">
            <v>#REF!</v>
          </cell>
          <cell r="AT93" t="e">
            <v>#REF!</v>
          </cell>
          <cell r="AV93" t="e">
            <v>#REF!</v>
          </cell>
          <cell r="AW93" t="e">
            <v>#REF!</v>
          </cell>
          <cell r="AX93" t="e">
            <v>#REF!</v>
          </cell>
          <cell r="AY93" t="e">
            <v>#REF!</v>
          </cell>
          <cell r="AZ93" t="e">
            <v>#REF!</v>
          </cell>
          <cell r="BA93" t="e">
            <v>#REF!</v>
          </cell>
          <cell r="BB93" t="e">
            <v>#REF!</v>
          </cell>
          <cell r="BC93" t="e">
            <v>#REF!</v>
          </cell>
          <cell r="BD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73429</v>
          </cell>
          <cell r="BM93" t="e">
            <v>#N/A</v>
          </cell>
          <cell r="BN93">
            <v>271260</v>
          </cell>
          <cell r="BP93">
            <v>227040</v>
          </cell>
        </row>
        <row r="94">
          <cell r="C94">
            <v>3433</v>
          </cell>
          <cell r="D94" t="str">
            <v>Pipworth Primary School</v>
          </cell>
          <cell r="E94">
            <v>229</v>
          </cell>
          <cell r="F94">
            <v>0</v>
          </cell>
          <cell r="G94">
            <v>0</v>
          </cell>
          <cell r="H94">
            <v>0</v>
          </cell>
          <cell r="I94">
            <v>302280</v>
          </cell>
          <cell r="J94">
            <v>0</v>
          </cell>
          <cell r="K94">
            <v>0</v>
          </cell>
          <cell r="L94">
            <v>302280</v>
          </cell>
          <cell r="M94"/>
          <cell r="N94">
            <v>0</v>
          </cell>
          <cell r="O94">
            <v>0</v>
          </cell>
          <cell r="P94" t="b">
            <v>0</v>
          </cell>
          <cell r="Q94">
            <v>0</v>
          </cell>
          <cell r="R94">
            <v>12</v>
          </cell>
          <cell r="S94">
            <v>1320</v>
          </cell>
          <cell r="U94">
            <v>302280</v>
          </cell>
          <cell r="V94">
            <v>226</v>
          </cell>
          <cell r="W94">
            <v>0</v>
          </cell>
          <cell r="X94">
            <v>0</v>
          </cell>
          <cell r="Y94">
            <v>0</v>
          </cell>
          <cell r="Z94">
            <v>298320</v>
          </cell>
          <cell r="AA94">
            <v>-3960</v>
          </cell>
          <cell r="AB94">
            <v>-3960</v>
          </cell>
          <cell r="AC94">
            <v>83160</v>
          </cell>
          <cell r="AD94">
            <v>73040</v>
          </cell>
          <cell r="AE94">
            <v>71060</v>
          </cell>
          <cell r="AF94">
            <v>71060</v>
          </cell>
          <cell r="AG94">
            <v>0</v>
          </cell>
          <cell r="AK94">
            <v>332640</v>
          </cell>
          <cell r="AM94" t="e">
            <v>#REF!</v>
          </cell>
          <cell r="AN94" t="e">
            <v>#REF!</v>
          </cell>
          <cell r="AO94" t="e">
            <v>#REF!</v>
          </cell>
          <cell r="AP94" t="e">
            <v>#REF!</v>
          </cell>
          <cell r="AQ94" t="e">
            <v>#REF!</v>
          </cell>
          <cell r="AR94" t="e">
            <v>#REF!</v>
          </cell>
          <cell r="AS94" t="e">
            <v>#REF!</v>
          </cell>
          <cell r="AT94" t="e">
            <v>#REF!</v>
          </cell>
          <cell r="AV94" t="e">
            <v>#REF!</v>
          </cell>
          <cell r="AW94" t="e">
            <v>#REF!</v>
          </cell>
          <cell r="AX94" t="e">
            <v>#REF!</v>
          </cell>
          <cell r="AY94" t="e">
            <v>#REF!</v>
          </cell>
          <cell r="AZ94" t="e">
            <v>#REF!</v>
          </cell>
          <cell r="BA94" t="e">
            <v>#REF!</v>
          </cell>
          <cell r="BB94" t="e">
            <v>#REF!</v>
          </cell>
          <cell r="BC94" t="e">
            <v>#REF!</v>
          </cell>
          <cell r="BD94">
            <v>-3960</v>
          </cell>
          <cell r="BG94">
            <v>240240</v>
          </cell>
          <cell r="BH94">
            <v>-62040</v>
          </cell>
          <cell r="BI94">
            <v>0</v>
          </cell>
          <cell r="BJ94">
            <v>-227260</v>
          </cell>
          <cell r="BK94">
            <v>0</v>
          </cell>
          <cell r="BL94">
            <v>73432</v>
          </cell>
          <cell r="BM94" t="e">
            <v>#N/A</v>
          </cell>
          <cell r="BN94">
            <v>212850</v>
          </cell>
          <cell r="BP94">
            <v>332640</v>
          </cell>
        </row>
        <row r="95">
          <cell r="C95">
            <v>3427</v>
          </cell>
          <cell r="D95" t="str">
            <v>Porter Croft C of E Primary Academy</v>
          </cell>
          <cell r="E95">
            <v>85</v>
          </cell>
          <cell r="F95">
            <v>0</v>
          </cell>
          <cell r="G95">
            <v>0</v>
          </cell>
          <cell r="H95">
            <v>0</v>
          </cell>
          <cell r="I95">
            <v>112200</v>
          </cell>
          <cell r="J95">
            <v>0</v>
          </cell>
          <cell r="K95">
            <v>0</v>
          </cell>
          <cell r="L95">
            <v>112200</v>
          </cell>
          <cell r="M95"/>
          <cell r="N95" t="str">
            <v>Recoupment Academy</v>
          </cell>
          <cell r="O95">
            <v>0</v>
          </cell>
          <cell r="P95" t="b">
            <v>1</v>
          </cell>
          <cell r="Q95">
            <v>0</v>
          </cell>
          <cell r="R95">
            <v>0</v>
          </cell>
          <cell r="S95">
            <v>0</v>
          </cell>
          <cell r="U95">
            <v>0</v>
          </cell>
          <cell r="V95">
            <v>85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 t="e">
            <v>#N/A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K95">
            <v>0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AR95" t="e">
            <v>#REF!</v>
          </cell>
          <cell r="AS95" t="e">
            <v>#REF!</v>
          </cell>
          <cell r="AT95" t="e">
            <v>#REF!</v>
          </cell>
          <cell r="AV95" t="e">
            <v>#REF!</v>
          </cell>
          <cell r="AW95" t="e">
            <v>#REF!</v>
          </cell>
          <cell r="AX95" t="e">
            <v>#REF!</v>
          </cell>
          <cell r="AY95" t="e">
            <v>#REF!</v>
          </cell>
          <cell r="AZ95" t="e">
            <v>#REF!</v>
          </cell>
          <cell r="BA95" t="e">
            <v>#REF!</v>
          </cell>
          <cell r="BB95" t="e">
            <v>#REF!</v>
          </cell>
          <cell r="BC95" t="e">
            <v>#REF!</v>
          </cell>
          <cell r="BD95">
            <v>0</v>
          </cell>
          <cell r="BG95">
            <v>314460</v>
          </cell>
          <cell r="BH95">
            <v>314460</v>
          </cell>
          <cell r="BI95">
            <v>0</v>
          </cell>
          <cell r="BJ95">
            <v>0</v>
          </cell>
          <cell r="BK95">
            <v>0</v>
          </cell>
          <cell r="BL95">
            <v>73433</v>
          </cell>
          <cell r="BM95" t="e">
            <v>#N/A</v>
          </cell>
          <cell r="BN95">
            <v>235845</v>
          </cell>
          <cell r="BP95">
            <v>121440</v>
          </cell>
        </row>
        <row r="96">
          <cell r="C96">
            <v>2347</v>
          </cell>
          <cell r="D96" t="str">
            <v>Prince Edward Primary School</v>
          </cell>
          <cell r="E96">
            <v>245.5</v>
          </cell>
          <cell r="F96">
            <v>0</v>
          </cell>
          <cell r="G96">
            <v>0</v>
          </cell>
          <cell r="H96">
            <v>0</v>
          </cell>
          <cell r="I96">
            <v>324060</v>
          </cell>
          <cell r="J96">
            <v>0</v>
          </cell>
          <cell r="K96">
            <v>0</v>
          </cell>
          <cell r="L96">
            <v>324060</v>
          </cell>
          <cell r="M96"/>
          <cell r="N96">
            <v>0</v>
          </cell>
          <cell r="O96">
            <v>0</v>
          </cell>
          <cell r="P96" t="b">
            <v>0</v>
          </cell>
          <cell r="Q96">
            <v>0</v>
          </cell>
          <cell r="R96">
            <v>12</v>
          </cell>
          <cell r="S96">
            <v>1320</v>
          </cell>
          <cell r="U96">
            <v>324060</v>
          </cell>
          <cell r="V96">
            <v>243.5</v>
          </cell>
          <cell r="W96">
            <v>0</v>
          </cell>
          <cell r="X96">
            <v>0</v>
          </cell>
          <cell r="Y96">
            <v>0</v>
          </cell>
          <cell r="Z96">
            <v>321420</v>
          </cell>
          <cell r="AA96">
            <v>-2640</v>
          </cell>
          <cell r="AB96">
            <v>-2640</v>
          </cell>
          <cell r="AC96">
            <v>81510</v>
          </cell>
          <cell r="AD96">
            <v>80850</v>
          </cell>
          <cell r="AE96">
            <v>79530</v>
          </cell>
          <cell r="AF96">
            <v>79530</v>
          </cell>
          <cell r="AG96">
            <v>0</v>
          </cell>
          <cell r="AK96">
            <v>326040</v>
          </cell>
          <cell r="AM96" t="e">
            <v>#REF!</v>
          </cell>
          <cell r="AN96" t="e">
            <v>#REF!</v>
          </cell>
          <cell r="AO96" t="e">
            <v>#REF!</v>
          </cell>
          <cell r="AP96" t="e">
            <v>#REF!</v>
          </cell>
          <cell r="AQ96" t="e">
            <v>#REF!</v>
          </cell>
          <cell r="AR96" t="e">
            <v>#REF!</v>
          </cell>
          <cell r="AS96" t="e">
            <v>#REF!</v>
          </cell>
          <cell r="AT96" t="e">
            <v>#REF!</v>
          </cell>
          <cell r="AV96" t="e">
            <v>#REF!</v>
          </cell>
          <cell r="AW96" t="e">
            <v>#REF!</v>
          </cell>
          <cell r="AX96" t="e">
            <v>#REF!</v>
          </cell>
          <cell r="AY96" t="e">
            <v>#REF!</v>
          </cell>
          <cell r="AZ96" t="e">
            <v>#REF!</v>
          </cell>
          <cell r="BA96" t="e">
            <v>#REF!</v>
          </cell>
          <cell r="BB96" t="e">
            <v>#REF!</v>
          </cell>
          <cell r="BC96" t="e">
            <v>#REF!</v>
          </cell>
          <cell r="BD96">
            <v>-2640</v>
          </cell>
          <cell r="BG96">
            <v>0</v>
          </cell>
          <cell r="BH96">
            <v>-324060</v>
          </cell>
          <cell r="BI96">
            <v>0</v>
          </cell>
          <cell r="BJ96">
            <v>-241890</v>
          </cell>
          <cell r="BK96">
            <v>0</v>
          </cell>
          <cell r="BL96">
            <v>74252</v>
          </cell>
          <cell r="BM96" t="e">
            <v>#N/A</v>
          </cell>
          <cell r="BN96">
            <v>212056.63</v>
          </cell>
          <cell r="BP96">
            <v>326040</v>
          </cell>
        </row>
        <row r="97">
          <cell r="C97">
            <v>2366</v>
          </cell>
          <cell r="D97" t="str">
            <v>Pye Bank CofE Primary School</v>
          </cell>
          <cell r="E97">
            <v>216</v>
          </cell>
          <cell r="F97">
            <v>0</v>
          </cell>
          <cell r="G97">
            <v>0</v>
          </cell>
          <cell r="H97">
            <v>0</v>
          </cell>
          <cell r="I97">
            <v>285120</v>
          </cell>
          <cell r="J97">
            <v>0</v>
          </cell>
          <cell r="K97">
            <v>0</v>
          </cell>
          <cell r="L97">
            <v>285120</v>
          </cell>
          <cell r="M97"/>
          <cell r="N97">
            <v>0</v>
          </cell>
          <cell r="O97">
            <v>0</v>
          </cell>
          <cell r="P97" t="b">
            <v>0</v>
          </cell>
          <cell r="Q97">
            <v>0</v>
          </cell>
          <cell r="R97">
            <v>12</v>
          </cell>
          <cell r="S97">
            <v>1320</v>
          </cell>
          <cell r="U97">
            <v>285120</v>
          </cell>
          <cell r="V97">
            <v>215</v>
          </cell>
          <cell r="W97">
            <v>0</v>
          </cell>
          <cell r="X97">
            <v>0</v>
          </cell>
          <cell r="Y97">
            <v>0</v>
          </cell>
          <cell r="Z97">
            <v>283800</v>
          </cell>
          <cell r="AA97">
            <v>-1320</v>
          </cell>
          <cell r="AB97">
            <v>-1320</v>
          </cell>
          <cell r="AC97">
            <v>71940</v>
          </cell>
          <cell r="AD97">
            <v>71060</v>
          </cell>
          <cell r="AE97">
            <v>70400</v>
          </cell>
          <cell r="AF97">
            <v>70400</v>
          </cell>
          <cell r="AG97">
            <v>0</v>
          </cell>
          <cell r="AK97">
            <v>287760</v>
          </cell>
          <cell r="AM97" t="e">
            <v>#REF!</v>
          </cell>
          <cell r="AN97" t="e">
            <v>#REF!</v>
          </cell>
          <cell r="AO97" t="e">
            <v>#REF!</v>
          </cell>
          <cell r="AP97" t="e">
            <v>#REF!</v>
          </cell>
          <cell r="AQ97" t="e">
            <v>#REF!</v>
          </cell>
          <cell r="AR97" t="e">
            <v>#REF!</v>
          </cell>
          <cell r="AS97" t="e">
            <v>#REF!</v>
          </cell>
          <cell r="AT97" t="e">
            <v>#REF!</v>
          </cell>
          <cell r="AV97" t="e">
            <v>#REF!</v>
          </cell>
          <cell r="AW97" t="e">
            <v>#REF!</v>
          </cell>
          <cell r="AX97" t="e">
            <v>#REF!</v>
          </cell>
          <cell r="AY97" t="e">
            <v>#REF!</v>
          </cell>
          <cell r="AZ97" t="e">
            <v>#REF!</v>
          </cell>
          <cell r="BA97" t="e">
            <v>#REF!</v>
          </cell>
          <cell r="BB97" t="e">
            <v>#REF!</v>
          </cell>
          <cell r="BC97" t="e">
            <v>#REF!</v>
          </cell>
          <cell r="BD97">
            <v>-1320</v>
          </cell>
          <cell r="BG97">
            <v>315480</v>
          </cell>
          <cell r="BH97">
            <v>30360</v>
          </cell>
          <cell r="BI97">
            <v>0</v>
          </cell>
          <cell r="BJ97">
            <v>-213400</v>
          </cell>
          <cell r="BK97">
            <v>0</v>
          </cell>
          <cell r="BL97">
            <v>74257</v>
          </cell>
          <cell r="BM97" t="e">
            <v>#N/A</v>
          </cell>
          <cell r="BN97">
            <v>116430</v>
          </cell>
          <cell r="BP97">
            <v>287760</v>
          </cell>
        </row>
        <row r="98">
          <cell r="C98">
            <v>2363</v>
          </cell>
          <cell r="D98" t="str">
            <v>Rainbow Forge</v>
          </cell>
          <cell r="E98">
            <v>119</v>
          </cell>
          <cell r="F98">
            <v>0</v>
          </cell>
          <cell r="G98">
            <v>2</v>
          </cell>
          <cell r="H98">
            <v>8</v>
          </cell>
          <cell r="I98">
            <v>157080</v>
          </cell>
          <cell r="J98">
            <v>600</v>
          </cell>
          <cell r="K98">
            <v>18400</v>
          </cell>
          <cell r="L98">
            <v>176080</v>
          </cell>
          <cell r="M98"/>
          <cell r="N98" t="str">
            <v>Recoupment Academy</v>
          </cell>
          <cell r="O98">
            <v>0</v>
          </cell>
          <cell r="P98" t="b">
            <v>1</v>
          </cell>
          <cell r="Q98">
            <v>0</v>
          </cell>
          <cell r="R98">
            <v>0</v>
          </cell>
          <cell r="S98">
            <v>0</v>
          </cell>
          <cell r="U98">
            <v>0</v>
          </cell>
          <cell r="V98">
            <v>119</v>
          </cell>
          <cell r="W98">
            <v>0</v>
          </cell>
          <cell r="X98">
            <v>2</v>
          </cell>
          <cell r="Y98">
            <v>8</v>
          </cell>
          <cell r="Z98">
            <v>0</v>
          </cell>
          <cell r="AA98">
            <v>0</v>
          </cell>
          <cell r="AB98" t="e">
            <v>#N/A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K98">
            <v>0</v>
          </cell>
          <cell r="AM98" t="e">
            <v>#REF!</v>
          </cell>
          <cell r="AN98" t="e">
            <v>#REF!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V98" t="e">
            <v>#REF!</v>
          </cell>
          <cell r="AW98" t="e">
            <v>#REF!</v>
          </cell>
          <cell r="AX98" t="e">
            <v>#REF!</v>
          </cell>
          <cell r="AY98" t="e">
            <v>#REF!</v>
          </cell>
          <cell r="AZ98" t="e">
            <v>#REF!</v>
          </cell>
          <cell r="BA98" t="e">
            <v>#REF!</v>
          </cell>
          <cell r="BB98" t="e">
            <v>#REF!</v>
          </cell>
          <cell r="BC98" t="e">
            <v>#REF!</v>
          </cell>
          <cell r="BD98">
            <v>0</v>
          </cell>
          <cell r="BG98">
            <v>279840</v>
          </cell>
          <cell r="BH98">
            <v>279840</v>
          </cell>
          <cell r="BI98">
            <v>0</v>
          </cell>
          <cell r="BJ98">
            <v>0</v>
          </cell>
          <cell r="BK98">
            <v>0</v>
          </cell>
          <cell r="BL98">
            <v>74259</v>
          </cell>
          <cell r="BM98" t="e">
            <v>#N/A</v>
          </cell>
          <cell r="BN98">
            <v>256837.5</v>
          </cell>
          <cell r="BP98">
            <v>135960</v>
          </cell>
        </row>
        <row r="99">
          <cell r="C99">
            <v>2334</v>
          </cell>
          <cell r="D99" t="str">
            <v>Reignhead Primary School</v>
          </cell>
          <cell r="E99">
            <v>85</v>
          </cell>
          <cell r="F99">
            <v>0</v>
          </cell>
          <cell r="G99">
            <v>0</v>
          </cell>
          <cell r="H99">
            <v>4</v>
          </cell>
          <cell r="I99">
            <v>112200</v>
          </cell>
          <cell r="J99">
            <v>0</v>
          </cell>
          <cell r="K99">
            <v>9200</v>
          </cell>
          <cell r="L99">
            <v>121400</v>
          </cell>
          <cell r="M99"/>
          <cell r="N99">
            <v>0</v>
          </cell>
          <cell r="O99">
            <v>0</v>
          </cell>
          <cell r="P99" t="b">
            <v>0</v>
          </cell>
          <cell r="Q99">
            <v>0</v>
          </cell>
          <cell r="R99">
            <v>12</v>
          </cell>
          <cell r="S99">
            <v>1320</v>
          </cell>
          <cell r="U99">
            <v>121400</v>
          </cell>
          <cell r="V99">
            <v>84</v>
          </cell>
          <cell r="W99">
            <v>0</v>
          </cell>
          <cell r="X99">
            <v>0</v>
          </cell>
          <cell r="Y99">
            <v>4</v>
          </cell>
          <cell r="Z99">
            <v>120080</v>
          </cell>
          <cell r="AA99">
            <v>-1320</v>
          </cell>
          <cell r="AB99">
            <v>-1320</v>
          </cell>
          <cell r="AC99">
            <v>26400</v>
          </cell>
          <cell r="AD99">
            <v>31666.666666666668</v>
          </cell>
          <cell r="AE99">
            <v>31006.666666666664</v>
          </cell>
          <cell r="AF99">
            <v>31006.666666666664</v>
          </cell>
          <cell r="AG99">
            <v>0</v>
          </cell>
          <cell r="AK99">
            <v>105600</v>
          </cell>
          <cell r="AM99" t="e">
            <v>#REF!</v>
          </cell>
          <cell r="AN99" t="e">
            <v>#REF!</v>
          </cell>
          <cell r="AO99" t="e">
            <v>#REF!</v>
          </cell>
          <cell r="AP99" t="e">
            <v>#REF!</v>
          </cell>
          <cell r="AQ99" t="e">
            <v>#REF!</v>
          </cell>
          <cell r="AR99" t="e">
            <v>#REF!</v>
          </cell>
          <cell r="AS99" t="e">
            <v>#REF!</v>
          </cell>
          <cell r="AT99" t="e">
            <v>#REF!</v>
          </cell>
          <cell r="AV99" t="e">
            <v>#REF!</v>
          </cell>
          <cell r="AW99" t="e">
            <v>#REF!</v>
          </cell>
          <cell r="AX99" t="e">
            <v>#REF!</v>
          </cell>
          <cell r="AY99" t="e">
            <v>#REF!</v>
          </cell>
          <cell r="AZ99" t="e">
            <v>#REF!</v>
          </cell>
          <cell r="BA99" t="e">
            <v>#REF!</v>
          </cell>
          <cell r="BB99" t="e">
            <v>#REF!</v>
          </cell>
          <cell r="BC99" t="e">
            <v>#REF!</v>
          </cell>
          <cell r="BD99">
            <v>-1320</v>
          </cell>
          <cell r="BG99">
            <v>110260</v>
          </cell>
          <cell r="BH99">
            <v>-11140</v>
          </cell>
          <cell r="BI99">
            <v>0</v>
          </cell>
          <cell r="BJ99">
            <v>-120080</v>
          </cell>
          <cell r="BK99">
            <v>0</v>
          </cell>
          <cell r="BL99">
            <v>74271</v>
          </cell>
          <cell r="BM99" t="e">
            <v>#N/A</v>
          </cell>
          <cell r="BN99">
            <v>145834.25</v>
          </cell>
          <cell r="BP99">
            <v>105600</v>
          </cell>
        </row>
        <row r="100">
          <cell r="C100">
            <v>2338</v>
          </cell>
          <cell r="D100" t="str">
            <v>Rivelin Primary</v>
          </cell>
          <cell r="E100">
            <v>76</v>
          </cell>
          <cell r="F100">
            <v>0</v>
          </cell>
          <cell r="G100">
            <v>0</v>
          </cell>
          <cell r="H100">
            <v>1</v>
          </cell>
          <cell r="I100">
            <v>100320</v>
          </cell>
          <cell r="J100">
            <v>0</v>
          </cell>
          <cell r="K100">
            <v>2300</v>
          </cell>
          <cell r="L100">
            <v>102620</v>
          </cell>
          <cell r="M100"/>
          <cell r="N100">
            <v>0</v>
          </cell>
          <cell r="O100">
            <v>0</v>
          </cell>
          <cell r="P100" t="b">
            <v>0</v>
          </cell>
          <cell r="Q100">
            <v>0</v>
          </cell>
          <cell r="R100">
            <v>12</v>
          </cell>
          <cell r="S100">
            <v>1320</v>
          </cell>
          <cell r="U100">
            <v>102620</v>
          </cell>
          <cell r="V100">
            <v>75</v>
          </cell>
          <cell r="W100">
            <v>0</v>
          </cell>
          <cell r="X100">
            <v>0</v>
          </cell>
          <cell r="Y100">
            <v>1</v>
          </cell>
          <cell r="Z100">
            <v>101300</v>
          </cell>
          <cell r="AA100">
            <v>-1320</v>
          </cell>
          <cell r="AB100">
            <v>-1320</v>
          </cell>
          <cell r="AC100">
            <v>26400</v>
          </cell>
          <cell r="AD100">
            <v>25406.666666666668</v>
          </cell>
          <cell r="AE100">
            <v>24746.666666666664</v>
          </cell>
          <cell r="AF100">
            <v>24746.666666666664</v>
          </cell>
          <cell r="AG100">
            <v>0</v>
          </cell>
          <cell r="AK100">
            <v>105600</v>
          </cell>
          <cell r="AM100" t="e">
            <v>#REF!</v>
          </cell>
          <cell r="AN100" t="e">
            <v>#REF!</v>
          </cell>
          <cell r="AO100" t="e">
            <v>#REF!</v>
          </cell>
          <cell r="AP100" t="e">
            <v>#REF!</v>
          </cell>
          <cell r="AQ100" t="e">
            <v>#REF!</v>
          </cell>
          <cell r="AR100" t="e">
            <v>#REF!</v>
          </cell>
          <cell r="AS100" t="e">
            <v>#REF!</v>
          </cell>
          <cell r="AT100" t="e">
            <v>#REF!</v>
          </cell>
          <cell r="AV100" t="e">
            <v>#REF!</v>
          </cell>
          <cell r="AW100" t="e">
            <v>#REF!</v>
          </cell>
          <cell r="AX100" t="e">
            <v>#REF!</v>
          </cell>
          <cell r="AY100" t="e">
            <v>#REF!</v>
          </cell>
          <cell r="AZ100" t="e">
            <v>#REF!</v>
          </cell>
          <cell r="BA100" t="e">
            <v>#REF!</v>
          </cell>
          <cell r="BB100" t="e">
            <v>#REF!</v>
          </cell>
          <cell r="BC100" t="e">
            <v>#REF!</v>
          </cell>
          <cell r="BD100">
            <v>-1320</v>
          </cell>
          <cell r="BG100">
            <v>106600</v>
          </cell>
          <cell r="BH100">
            <v>3980</v>
          </cell>
          <cell r="BI100">
            <v>0</v>
          </cell>
          <cell r="BJ100">
            <v>-76553.333333333343</v>
          </cell>
          <cell r="BK100">
            <v>0</v>
          </cell>
          <cell r="BL100">
            <v>74276</v>
          </cell>
          <cell r="BM100" t="e">
            <v>#N/A</v>
          </cell>
          <cell r="BN100">
            <v>454883</v>
          </cell>
          <cell r="BP100">
            <v>105600</v>
          </cell>
        </row>
        <row r="101">
          <cell r="C101">
            <v>2306</v>
          </cell>
          <cell r="D101" t="str">
            <v>Royd Nursery Infant School</v>
          </cell>
          <cell r="E101">
            <v>30</v>
          </cell>
          <cell r="F101">
            <v>0</v>
          </cell>
          <cell r="G101">
            <v>0</v>
          </cell>
          <cell r="H101">
            <v>0</v>
          </cell>
          <cell r="I101">
            <v>39600</v>
          </cell>
          <cell r="J101">
            <v>0</v>
          </cell>
          <cell r="K101">
            <v>0</v>
          </cell>
          <cell r="L101">
            <v>39600</v>
          </cell>
          <cell r="M101"/>
          <cell r="N101">
            <v>0</v>
          </cell>
          <cell r="O101">
            <v>0</v>
          </cell>
          <cell r="P101" t="b">
            <v>0</v>
          </cell>
          <cell r="Q101">
            <v>0</v>
          </cell>
          <cell r="R101">
            <v>12</v>
          </cell>
          <cell r="S101">
            <v>1320</v>
          </cell>
          <cell r="U101">
            <v>39600</v>
          </cell>
          <cell r="V101">
            <v>30</v>
          </cell>
          <cell r="W101">
            <v>0</v>
          </cell>
          <cell r="X101">
            <v>0</v>
          </cell>
          <cell r="Y101">
            <v>0</v>
          </cell>
          <cell r="Z101">
            <v>39600</v>
          </cell>
          <cell r="AA101">
            <v>0</v>
          </cell>
          <cell r="AB101">
            <v>0</v>
          </cell>
          <cell r="AC101">
            <v>9240</v>
          </cell>
          <cell r="AD101">
            <v>10120</v>
          </cell>
          <cell r="AE101">
            <v>10120</v>
          </cell>
          <cell r="AF101">
            <v>10120</v>
          </cell>
          <cell r="AG101">
            <v>0</v>
          </cell>
          <cell r="AK101">
            <v>36960</v>
          </cell>
          <cell r="AM101" t="e">
            <v>#REF!</v>
          </cell>
          <cell r="AN101" t="e">
            <v>#REF!</v>
          </cell>
          <cell r="AO101" t="e">
            <v>#REF!</v>
          </cell>
          <cell r="AP101" t="e">
            <v>#REF!</v>
          </cell>
          <cell r="AQ101" t="e">
            <v>#REF!</v>
          </cell>
          <cell r="AR101" t="e">
            <v>#REF!</v>
          </cell>
          <cell r="AS101" t="e">
            <v>#REF!</v>
          </cell>
          <cell r="AT101" t="e">
            <v>#REF!</v>
          </cell>
          <cell r="AV101" t="e">
            <v>#REF!</v>
          </cell>
          <cell r="AW101" t="e">
            <v>#REF!</v>
          </cell>
          <cell r="AX101" t="e">
            <v>#REF!</v>
          </cell>
          <cell r="AY101" t="e">
            <v>#REF!</v>
          </cell>
          <cell r="AZ101" t="e">
            <v>#REF!</v>
          </cell>
          <cell r="BA101" t="e">
            <v>#REF!</v>
          </cell>
          <cell r="BB101" t="e">
            <v>#REF!</v>
          </cell>
          <cell r="BC101" t="e">
            <v>#REF!</v>
          </cell>
          <cell r="BD101">
            <v>0</v>
          </cell>
          <cell r="BG101">
            <v>107500</v>
          </cell>
          <cell r="BH101">
            <v>67900</v>
          </cell>
          <cell r="BI101">
            <v>0</v>
          </cell>
          <cell r="BJ101">
            <v>-29480</v>
          </cell>
          <cell r="BK101">
            <v>0</v>
          </cell>
          <cell r="BL101">
            <v>75200</v>
          </cell>
          <cell r="BM101" t="e">
            <v>#N/A</v>
          </cell>
          <cell r="BN101">
            <v>3960</v>
          </cell>
          <cell r="BP101">
            <v>36960</v>
          </cell>
        </row>
        <row r="102">
          <cell r="C102">
            <v>3401</v>
          </cell>
          <cell r="D102" t="str">
            <v>Sacred Heart School  A Catholic Voluntary Academy</v>
          </cell>
          <cell r="E102">
            <v>26</v>
          </cell>
          <cell r="F102">
            <v>0</v>
          </cell>
          <cell r="G102">
            <v>0</v>
          </cell>
          <cell r="H102">
            <v>2</v>
          </cell>
          <cell r="I102">
            <v>34320</v>
          </cell>
          <cell r="J102">
            <v>0</v>
          </cell>
          <cell r="K102">
            <v>4600</v>
          </cell>
          <cell r="L102">
            <v>38920</v>
          </cell>
          <cell r="M102"/>
          <cell r="N102" t="str">
            <v>Recoupment Academy</v>
          </cell>
          <cell r="O102">
            <v>0</v>
          </cell>
          <cell r="P102" t="b">
            <v>1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25</v>
          </cell>
          <cell r="W102">
            <v>0</v>
          </cell>
          <cell r="X102">
            <v>0</v>
          </cell>
          <cell r="Y102">
            <v>2</v>
          </cell>
          <cell r="Z102">
            <v>0</v>
          </cell>
          <cell r="AA102">
            <v>0</v>
          </cell>
          <cell r="AB102" t="e">
            <v>#N/A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K102">
            <v>0</v>
          </cell>
          <cell r="AM102" t="e">
            <v>#REF!</v>
          </cell>
          <cell r="AN102" t="e">
            <v>#REF!</v>
          </cell>
          <cell r="AO102" t="e">
            <v>#REF!</v>
          </cell>
          <cell r="AP102" t="e">
            <v>#REF!</v>
          </cell>
          <cell r="AQ102" t="e">
            <v>#REF!</v>
          </cell>
          <cell r="AR102" t="e">
            <v>#REF!</v>
          </cell>
          <cell r="AS102" t="e">
            <v>#REF!</v>
          </cell>
          <cell r="AT102" t="e">
            <v>#REF!</v>
          </cell>
          <cell r="AV102" t="e">
            <v>#REF!</v>
          </cell>
          <cell r="AW102" t="e">
            <v>#REF!</v>
          </cell>
          <cell r="AX102" t="e">
            <v>#REF!</v>
          </cell>
          <cell r="AY102" t="e">
            <v>#REF!</v>
          </cell>
          <cell r="AZ102" t="e">
            <v>#REF!</v>
          </cell>
          <cell r="BA102" t="e">
            <v>#REF!</v>
          </cell>
          <cell r="BB102" t="e">
            <v>#REF!</v>
          </cell>
          <cell r="BC102" t="e">
            <v>#REF!</v>
          </cell>
          <cell r="BD102">
            <v>0</v>
          </cell>
          <cell r="BG102">
            <v>31680</v>
          </cell>
          <cell r="BH102">
            <v>31680</v>
          </cell>
          <cell r="BI102">
            <v>0</v>
          </cell>
          <cell r="BJ102">
            <v>0</v>
          </cell>
          <cell r="BK102">
            <v>0</v>
          </cell>
          <cell r="BL102">
            <v>75204</v>
          </cell>
          <cell r="BM102" t="e">
            <v>#N/A</v>
          </cell>
          <cell r="BN102">
            <v>5820</v>
          </cell>
          <cell r="BP102">
            <v>34320</v>
          </cell>
        </row>
        <row r="103">
          <cell r="C103">
            <v>2369</v>
          </cell>
          <cell r="D103" t="str">
            <v>Sharrow School</v>
          </cell>
          <cell r="E103">
            <v>137</v>
          </cell>
          <cell r="F103">
            <v>0</v>
          </cell>
          <cell r="G103">
            <v>0</v>
          </cell>
          <cell r="H103">
            <v>0</v>
          </cell>
          <cell r="I103">
            <v>180840</v>
          </cell>
          <cell r="J103">
            <v>0</v>
          </cell>
          <cell r="K103">
            <v>0</v>
          </cell>
          <cell r="L103">
            <v>180840</v>
          </cell>
          <cell r="M103"/>
          <cell r="N103">
            <v>0</v>
          </cell>
          <cell r="O103">
            <v>0</v>
          </cell>
          <cell r="P103" t="b">
            <v>0</v>
          </cell>
          <cell r="Q103">
            <v>0</v>
          </cell>
          <cell r="R103">
            <v>12</v>
          </cell>
          <cell r="S103">
            <v>1320</v>
          </cell>
          <cell r="U103">
            <v>180840</v>
          </cell>
          <cell r="V103">
            <v>136</v>
          </cell>
          <cell r="W103">
            <v>0</v>
          </cell>
          <cell r="X103">
            <v>0</v>
          </cell>
          <cell r="Y103">
            <v>0</v>
          </cell>
          <cell r="Z103">
            <v>179520</v>
          </cell>
          <cell r="AA103">
            <v>-1320</v>
          </cell>
          <cell r="AB103">
            <v>-1320</v>
          </cell>
          <cell r="AC103">
            <v>46530</v>
          </cell>
          <cell r="AD103">
            <v>44770</v>
          </cell>
          <cell r="AE103">
            <v>44110</v>
          </cell>
          <cell r="AF103">
            <v>44110</v>
          </cell>
          <cell r="AG103">
            <v>0</v>
          </cell>
          <cell r="AK103">
            <v>186120</v>
          </cell>
          <cell r="AM103" t="e">
            <v>#REF!</v>
          </cell>
          <cell r="AN103" t="e">
            <v>#REF!</v>
          </cell>
          <cell r="AO103" t="e">
            <v>#REF!</v>
          </cell>
          <cell r="AP103" t="e">
            <v>#REF!</v>
          </cell>
          <cell r="AQ103" t="e">
            <v>#REF!</v>
          </cell>
          <cell r="AR103" t="e">
            <v>#REF!</v>
          </cell>
          <cell r="AS103" t="e">
            <v>#REF!</v>
          </cell>
          <cell r="AT103" t="e">
            <v>#REF!</v>
          </cell>
          <cell r="AV103" t="e">
            <v>#REF!</v>
          </cell>
          <cell r="AW103" t="e">
            <v>#REF!</v>
          </cell>
          <cell r="AX103" t="e">
            <v>#REF!</v>
          </cell>
          <cell r="AY103" t="e">
            <v>#REF!</v>
          </cell>
          <cell r="AZ103" t="e">
            <v>#REF!</v>
          </cell>
          <cell r="BA103" t="e">
            <v>#REF!</v>
          </cell>
          <cell r="BB103" t="e">
            <v>#REF!</v>
          </cell>
          <cell r="BC103" t="e">
            <v>#REF!</v>
          </cell>
          <cell r="BD103">
            <v>-1320</v>
          </cell>
          <cell r="BG103">
            <v>0</v>
          </cell>
          <cell r="BH103">
            <v>-180840</v>
          </cell>
          <cell r="BI103">
            <v>0</v>
          </cell>
          <cell r="BJ103">
            <v>-135410</v>
          </cell>
          <cell r="BK103">
            <v>0</v>
          </cell>
          <cell r="BL103">
            <v>75206</v>
          </cell>
          <cell r="BM103" t="e">
            <v>#N/A</v>
          </cell>
          <cell r="BN103">
            <v>24630</v>
          </cell>
          <cell r="BP103">
            <v>186120</v>
          </cell>
        </row>
        <row r="104">
          <cell r="C104">
            <v>2349</v>
          </cell>
          <cell r="D104" t="str">
            <v>Shooters Grove</v>
          </cell>
          <cell r="E104">
            <v>101</v>
          </cell>
          <cell r="F104">
            <v>0</v>
          </cell>
          <cell r="G104">
            <v>0</v>
          </cell>
          <cell r="H104">
            <v>0</v>
          </cell>
          <cell r="I104">
            <v>133320</v>
          </cell>
          <cell r="J104">
            <v>0</v>
          </cell>
          <cell r="K104">
            <v>0</v>
          </cell>
          <cell r="L104">
            <v>133320</v>
          </cell>
          <cell r="M104"/>
          <cell r="N104">
            <v>0</v>
          </cell>
          <cell r="O104">
            <v>0</v>
          </cell>
          <cell r="P104" t="b">
            <v>0</v>
          </cell>
          <cell r="Q104">
            <v>0</v>
          </cell>
          <cell r="R104">
            <v>12</v>
          </cell>
          <cell r="S104">
            <v>1320</v>
          </cell>
          <cell r="U104">
            <v>133320</v>
          </cell>
          <cell r="V104">
            <v>101</v>
          </cell>
          <cell r="W104">
            <v>0</v>
          </cell>
          <cell r="X104">
            <v>0</v>
          </cell>
          <cell r="Y104">
            <v>0</v>
          </cell>
          <cell r="Z104">
            <v>133320</v>
          </cell>
          <cell r="AA104">
            <v>0</v>
          </cell>
          <cell r="AB104">
            <v>0</v>
          </cell>
          <cell r="AC104">
            <v>33660</v>
          </cell>
          <cell r="AD104">
            <v>33220</v>
          </cell>
          <cell r="AE104">
            <v>33220</v>
          </cell>
          <cell r="AF104">
            <v>33220</v>
          </cell>
          <cell r="AG104">
            <v>0</v>
          </cell>
          <cell r="AK104">
            <v>134640</v>
          </cell>
          <cell r="AM104" t="e">
            <v>#REF!</v>
          </cell>
          <cell r="AN104" t="e">
            <v>#REF!</v>
          </cell>
          <cell r="AO104" t="e">
            <v>#REF!</v>
          </cell>
          <cell r="AP104" t="e">
            <v>#REF!</v>
          </cell>
          <cell r="AQ104" t="e">
            <v>#REF!</v>
          </cell>
          <cell r="AR104" t="e">
            <v>#REF!</v>
          </cell>
          <cell r="AS104" t="e">
            <v>#REF!</v>
          </cell>
          <cell r="AT104" t="e">
            <v>#REF!</v>
          </cell>
          <cell r="AV104" t="e">
            <v>#REF!</v>
          </cell>
          <cell r="AW104" t="e">
            <v>#REF!</v>
          </cell>
          <cell r="AX104" t="e">
            <v>#REF!</v>
          </cell>
          <cell r="AY104" t="e">
            <v>#REF!</v>
          </cell>
          <cell r="AZ104" t="e">
            <v>#REF!</v>
          </cell>
          <cell r="BA104" t="e">
            <v>#REF!</v>
          </cell>
          <cell r="BB104" t="e">
            <v>#REF!</v>
          </cell>
          <cell r="BC104" t="e">
            <v>#REF!</v>
          </cell>
          <cell r="BD104">
            <v>0</v>
          </cell>
          <cell r="BG104">
            <v>198000</v>
          </cell>
          <cell r="BH104">
            <v>64680</v>
          </cell>
          <cell r="BI104">
            <v>0</v>
          </cell>
          <cell r="BJ104">
            <v>-100100</v>
          </cell>
          <cell r="BK104">
            <v>0</v>
          </cell>
          <cell r="BL104">
            <v>75208</v>
          </cell>
          <cell r="BM104" t="e">
            <v>#N/A</v>
          </cell>
          <cell r="BN104">
            <v>78210</v>
          </cell>
          <cell r="BP104">
            <v>134640</v>
          </cell>
        </row>
        <row r="105">
          <cell r="C105">
            <v>2360</v>
          </cell>
          <cell r="D105" t="str">
            <v>Shortbrook Primary</v>
          </cell>
          <cell r="E105">
            <v>62</v>
          </cell>
          <cell r="F105">
            <v>0</v>
          </cell>
          <cell r="G105">
            <v>0</v>
          </cell>
          <cell r="H105">
            <v>2</v>
          </cell>
          <cell r="I105">
            <v>81840</v>
          </cell>
          <cell r="J105">
            <v>0</v>
          </cell>
          <cell r="K105">
            <v>4600</v>
          </cell>
          <cell r="L105">
            <v>86440</v>
          </cell>
          <cell r="M105"/>
          <cell r="N105">
            <v>0</v>
          </cell>
          <cell r="O105">
            <v>0</v>
          </cell>
          <cell r="P105" t="b">
            <v>0</v>
          </cell>
          <cell r="Q105">
            <v>0</v>
          </cell>
          <cell r="R105">
            <v>12</v>
          </cell>
          <cell r="S105">
            <v>1320</v>
          </cell>
          <cell r="U105">
            <v>86440</v>
          </cell>
          <cell r="V105">
            <v>61</v>
          </cell>
          <cell r="W105">
            <v>0</v>
          </cell>
          <cell r="X105">
            <v>0</v>
          </cell>
          <cell r="Y105">
            <v>2</v>
          </cell>
          <cell r="Z105">
            <v>85120</v>
          </cell>
          <cell r="AA105">
            <v>-1320</v>
          </cell>
          <cell r="AB105">
            <v>-1320</v>
          </cell>
          <cell r="AC105">
            <v>18150</v>
          </cell>
          <cell r="AD105">
            <v>22763.333333333332</v>
          </cell>
          <cell r="AE105">
            <v>22103.333333333336</v>
          </cell>
          <cell r="AF105">
            <v>22103.333333333336</v>
          </cell>
          <cell r="AG105">
            <v>0</v>
          </cell>
          <cell r="AK105">
            <v>72600</v>
          </cell>
          <cell r="AM105" t="e">
            <v>#REF!</v>
          </cell>
          <cell r="AN105" t="e">
            <v>#REF!</v>
          </cell>
          <cell r="AO105" t="e">
            <v>#REF!</v>
          </cell>
          <cell r="AP105" t="e">
            <v>#REF!</v>
          </cell>
          <cell r="AQ105" t="e">
            <v>#REF!</v>
          </cell>
          <cell r="AR105" t="e">
            <v>#REF!</v>
          </cell>
          <cell r="AS105" t="e">
            <v>#REF!</v>
          </cell>
          <cell r="AT105" t="e">
            <v>#REF!</v>
          </cell>
          <cell r="AV105" t="e">
            <v>#REF!</v>
          </cell>
          <cell r="AW105" t="e">
            <v>#REF!</v>
          </cell>
          <cell r="AX105" t="e">
            <v>#REF!</v>
          </cell>
          <cell r="AY105" t="e">
            <v>#REF!</v>
          </cell>
          <cell r="AZ105" t="e">
            <v>#REF!</v>
          </cell>
          <cell r="BA105" t="e">
            <v>#REF!</v>
          </cell>
          <cell r="BB105" t="e">
            <v>#REF!</v>
          </cell>
          <cell r="BC105" t="e">
            <v>#REF!</v>
          </cell>
          <cell r="BD105">
            <v>-1320</v>
          </cell>
          <cell r="BG105">
            <v>108540</v>
          </cell>
          <cell r="BH105">
            <v>22100</v>
          </cell>
          <cell r="BI105">
            <v>0</v>
          </cell>
          <cell r="BJ105">
            <v>-63016.666666666664</v>
          </cell>
          <cell r="BK105">
            <v>0</v>
          </cell>
          <cell r="BL105">
            <v>77010</v>
          </cell>
          <cell r="BM105" t="str">
            <v>Bents Green School</v>
          </cell>
          <cell r="BN105">
            <v>44902.5</v>
          </cell>
          <cell r="BP105">
            <v>72600</v>
          </cell>
        </row>
        <row r="106">
          <cell r="C106">
            <v>2009</v>
          </cell>
          <cell r="D106" t="str">
            <v>Southey Green Primary School &amp; Nurseries</v>
          </cell>
          <cell r="E106">
            <v>356</v>
          </cell>
          <cell r="F106">
            <v>0</v>
          </cell>
          <cell r="G106">
            <v>0</v>
          </cell>
          <cell r="H106">
            <v>6</v>
          </cell>
          <cell r="I106">
            <v>469920</v>
          </cell>
          <cell r="J106">
            <v>0</v>
          </cell>
          <cell r="K106">
            <v>13800</v>
          </cell>
          <cell r="L106">
            <v>483720</v>
          </cell>
          <cell r="M106"/>
          <cell r="N106" t="str">
            <v>Recoupment Academy</v>
          </cell>
          <cell r="O106">
            <v>0</v>
          </cell>
          <cell r="P106" t="b">
            <v>1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356</v>
          </cell>
          <cell r="W106">
            <v>0</v>
          </cell>
          <cell r="X106">
            <v>0</v>
          </cell>
          <cell r="Y106">
            <v>6</v>
          </cell>
          <cell r="Z106">
            <v>0</v>
          </cell>
          <cell r="AA106">
            <v>0</v>
          </cell>
          <cell r="AB106" t="e">
            <v>#N/A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K106">
            <v>0</v>
          </cell>
          <cell r="AM106" t="e">
            <v>#REF!</v>
          </cell>
          <cell r="AN106" t="e">
            <v>#REF!</v>
          </cell>
          <cell r="AO106" t="e">
            <v>#REF!</v>
          </cell>
          <cell r="AP106" t="e">
            <v>#REF!</v>
          </cell>
          <cell r="AQ106" t="e">
            <v>#REF!</v>
          </cell>
          <cell r="AR106" t="e">
            <v>#REF!</v>
          </cell>
          <cell r="AS106" t="e">
            <v>#REF!</v>
          </cell>
          <cell r="AT106" t="e">
            <v>#REF!</v>
          </cell>
          <cell r="AV106" t="e">
            <v>#REF!</v>
          </cell>
          <cell r="AW106" t="e">
            <v>#REF!</v>
          </cell>
          <cell r="AX106" t="e">
            <v>#REF!</v>
          </cell>
          <cell r="AY106" t="e">
            <v>#REF!</v>
          </cell>
          <cell r="AZ106" t="e">
            <v>#REF!</v>
          </cell>
          <cell r="BA106" t="e">
            <v>#REF!</v>
          </cell>
          <cell r="BB106" t="e">
            <v>#REF!</v>
          </cell>
          <cell r="BC106" t="e">
            <v>#REF!</v>
          </cell>
          <cell r="BD106">
            <v>0</v>
          </cell>
          <cell r="BG106">
            <v>77720</v>
          </cell>
          <cell r="BH106">
            <v>77720</v>
          </cell>
          <cell r="BI106">
            <v>0</v>
          </cell>
          <cell r="BJ106">
            <v>0</v>
          </cell>
          <cell r="BK106">
            <v>0</v>
          </cell>
          <cell r="BL106">
            <v>77013</v>
          </cell>
          <cell r="BM106" t="str">
            <v>The Rowan School</v>
          </cell>
          <cell r="BN106">
            <v>25740</v>
          </cell>
          <cell r="BP106">
            <v>510180</v>
          </cell>
        </row>
        <row r="107">
          <cell r="C107">
            <v>2329</v>
          </cell>
          <cell r="D107" t="str">
            <v>Springfield Primary School</v>
          </cell>
          <cell r="E107">
            <v>74</v>
          </cell>
          <cell r="F107">
            <v>0</v>
          </cell>
          <cell r="G107">
            <v>0</v>
          </cell>
          <cell r="H107">
            <v>0</v>
          </cell>
          <cell r="I107">
            <v>97680</v>
          </cell>
          <cell r="J107">
            <v>0</v>
          </cell>
          <cell r="K107">
            <v>0</v>
          </cell>
          <cell r="L107">
            <v>97680</v>
          </cell>
          <cell r="M107"/>
          <cell r="N107">
            <v>0</v>
          </cell>
          <cell r="O107">
            <v>0</v>
          </cell>
          <cell r="P107" t="b">
            <v>0</v>
          </cell>
          <cell r="Q107">
            <v>0</v>
          </cell>
          <cell r="R107">
            <v>12</v>
          </cell>
          <cell r="S107">
            <v>1320</v>
          </cell>
          <cell r="U107">
            <v>97680</v>
          </cell>
          <cell r="V107">
            <v>74</v>
          </cell>
          <cell r="W107">
            <v>0</v>
          </cell>
          <cell r="X107">
            <v>0</v>
          </cell>
          <cell r="Y107">
            <v>0</v>
          </cell>
          <cell r="Z107">
            <v>97680</v>
          </cell>
          <cell r="AA107">
            <v>0</v>
          </cell>
          <cell r="AB107">
            <v>0</v>
          </cell>
          <cell r="AC107">
            <v>25740</v>
          </cell>
          <cell r="AD107">
            <v>23980</v>
          </cell>
          <cell r="AE107">
            <v>23980</v>
          </cell>
          <cell r="AF107">
            <v>23980</v>
          </cell>
          <cell r="AG107">
            <v>0</v>
          </cell>
          <cell r="AK107">
            <v>102960</v>
          </cell>
          <cell r="AM107" t="e">
            <v>#REF!</v>
          </cell>
          <cell r="AN107" t="e">
            <v>#REF!</v>
          </cell>
          <cell r="AO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 t="e">
            <v>#REF!</v>
          </cell>
          <cell r="AT107" t="e">
            <v>#REF!</v>
          </cell>
          <cell r="AV107" t="e">
            <v>#REF!</v>
          </cell>
          <cell r="AW107" t="e">
            <v>#REF!</v>
          </cell>
          <cell r="AX107" t="e">
            <v>#REF!</v>
          </cell>
          <cell r="AY107" t="e">
            <v>#REF!</v>
          </cell>
          <cell r="AZ107" t="e">
            <v>#REF!</v>
          </cell>
          <cell r="BA107" t="e">
            <v>#REF!</v>
          </cell>
          <cell r="BB107" t="e">
            <v>#REF!</v>
          </cell>
          <cell r="BC107" t="e">
            <v>#REF!</v>
          </cell>
          <cell r="BD107">
            <v>0</v>
          </cell>
          <cell r="BG107">
            <v>0</v>
          </cell>
          <cell r="BH107">
            <v>-97680</v>
          </cell>
          <cell r="BI107">
            <v>0</v>
          </cell>
          <cell r="BJ107">
            <v>-73700</v>
          </cell>
          <cell r="BK107">
            <v>0</v>
          </cell>
          <cell r="BL107">
            <v>77023</v>
          </cell>
          <cell r="BM107" t="str">
            <v>Norfolk Park School</v>
          </cell>
          <cell r="BN107">
            <v>28710</v>
          </cell>
          <cell r="BP107">
            <v>102960</v>
          </cell>
        </row>
        <row r="108">
          <cell r="C108">
            <v>5202</v>
          </cell>
          <cell r="D108" t="str">
            <v>St Anns Catholic Primary</v>
          </cell>
          <cell r="E108">
            <v>18</v>
          </cell>
          <cell r="F108">
            <v>0</v>
          </cell>
          <cell r="G108">
            <v>0</v>
          </cell>
          <cell r="H108">
            <v>0</v>
          </cell>
          <cell r="I108">
            <v>23760</v>
          </cell>
          <cell r="J108">
            <v>0</v>
          </cell>
          <cell r="K108">
            <v>0</v>
          </cell>
          <cell r="L108">
            <v>23760</v>
          </cell>
          <cell r="M108"/>
          <cell r="N108" t="str">
            <v>Recoupment Academy</v>
          </cell>
          <cell r="O108">
            <v>0</v>
          </cell>
          <cell r="P108" t="b">
            <v>1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18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 t="e">
            <v>#N/A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K108">
            <v>0</v>
          </cell>
          <cell r="AM108" t="e">
            <v>#REF!</v>
          </cell>
          <cell r="AN108" t="e">
            <v>#REF!</v>
          </cell>
          <cell r="AO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 t="e">
            <v>#REF!</v>
          </cell>
          <cell r="AT108" t="e">
            <v>#REF!</v>
          </cell>
          <cell r="AV108" t="e">
            <v>#REF!</v>
          </cell>
          <cell r="AW108" t="e">
            <v>#REF!</v>
          </cell>
          <cell r="AX108" t="e">
            <v>#REF!</v>
          </cell>
          <cell r="AY108" t="e">
            <v>#REF!</v>
          </cell>
          <cell r="AZ108" t="e">
            <v>#REF!</v>
          </cell>
          <cell r="BA108" t="e">
            <v>#REF!</v>
          </cell>
          <cell r="BB108" t="e">
            <v>#REF!</v>
          </cell>
          <cell r="BC108" t="e">
            <v>#REF!</v>
          </cell>
          <cell r="BD108">
            <v>0</v>
          </cell>
          <cell r="BG108">
            <v>106920</v>
          </cell>
          <cell r="BH108">
            <v>106920</v>
          </cell>
          <cell r="BI108">
            <v>0</v>
          </cell>
          <cell r="BJ108">
            <v>0</v>
          </cell>
          <cell r="BK108">
            <v>0</v>
          </cell>
          <cell r="BL108">
            <v>77024</v>
          </cell>
          <cell r="BM108" t="str">
            <v>Talbot Specialist School</v>
          </cell>
          <cell r="BN108">
            <v>44880</v>
          </cell>
          <cell r="BP108">
            <v>33000</v>
          </cell>
        </row>
        <row r="109">
          <cell r="C109">
            <v>3402</v>
          </cell>
          <cell r="D109" t="str">
            <v>St Catherine's RC NI&amp;J School</v>
          </cell>
          <cell r="E109">
            <v>136</v>
          </cell>
          <cell r="F109">
            <v>0</v>
          </cell>
          <cell r="G109">
            <v>0</v>
          </cell>
          <cell r="H109">
            <v>3</v>
          </cell>
          <cell r="I109">
            <v>179520</v>
          </cell>
          <cell r="J109">
            <v>0</v>
          </cell>
          <cell r="K109">
            <v>6900</v>
          </cell>
          <cell r="L109">
            <v>186420</v>
          </cell>
          <cell r="M109"/>
          <cell r="N109" t="str">
            <v>Recoupment Academy</v>
          </cell>
          <cell r="O109">
            <v>0</v>
          </cell>
          <cell r="P109" t="b">
            <v>1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136</v>
          </cell>
          <cell r="W109">
            <v>0</v>
          </cell>
          <cell r="X109">
            <v>0</v>
          </cell>
          <cell r="Y109">
            <v>3</v>
          </cell>
          <cell r="Z109">
            <v>0</v>
          </cell>
          <cell r="AA109">
            <v>0</v>
          </cell>
          <cell r="AB109" t="e">
            <v>#N/A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K109">
            <v>0</v>
          </cell>
          <cell r="AM109" t="e">
            <v>#REF!</v>
          </cell>
          <cell r="AN109" t="e">
            <v>#REF!</v>
          </cell>
          <cell r="AO109" t="e">
            <v>#REF!</v>
          </cell>
          <cell r="AP109" t="e">
            <v>#REF!</v>
          </cell>
          <cell r="AQ109" t="e">
            <v>#REF!</v>
          </cell>
          <cell r="AR109" t="e">
            <v>#REF!</v>
          </cell>
          <cell r="AS109" t="e">
            <v>#REF!</v>
          </cell>
          <cell r="AT109" t="e">
            <v>#REF!</v>
          </cell>
          <cell r="AV109" t="e">
            <v>#REF!</v>
          </cell>
          <cell r="AW109" t="e">
            <v>#REF!</v>
          </cell>
          <cell r="AX109" t="e">
            <v>#REF!</v>
          </cell>
          <cell r="AY109" t="e">
            <v>#REF!</v>
          </cell>
          <cell r="AZ109" t="e">
            <v>#REF!</v>
          </cell>
          <cell r="BA109" t="e">
            <v>#REF!</v>
          </cell>
          <cell r="BB109" t="e">
            <v>#REF!</v>
          </cell>
          <cell r="BC109" t="e">
            <v>#REF!</v>
          </cell>
          <cell r="BD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77026</v>
          </cell>
          <cell r="BM109" t="str">
            <v>Woolley Wood School</v>
          </cell>
          <cell r="BN109">
            <v>36630</v>
          </cell>
          <cell r="BP109">
            <v>171600</v>
          </cell>
        </row>
        <row r="110">
          <cell r="C110">
            <v>2017</v>
          </cell>
          <cell r="D110" t="str">
            <v>St John Fisher Primary - A Catholic Voluntary Academy</v>
          </cell>
          <cell r="E110">
            <v>31</v>
          </cell>
          <cell r="F110">
            <v>0</v>
          </cell>
          <cell r="G110">
            <v>1</v>
          </cell>
          <cell r="H110">
            <v>3</v>
          </cell>
          <cell r="I110">
            <v>40920</v>
          </cell>
          <cell r="J110">
            <v>300</v>
          </cell>
          <cell r="K110">
            <v>6900</v>
          </cell>
          <cell r="L110">
            <v>48120</v>
          </cell>
          <cell r="M110"/>
          <cell r="N110" t="str">
            <v>Recoupment Academy</v>
          </cell>
          <cell r="O110">
            <v>0</v>
          </cell>
          <cell r="P110" t="b">
            <v>1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31</v>
          </cell>
          <cell r="W110">
            <v>0</v>
          </cell>
          <cell r="X110">
            <v>1</v>
          </cell>
          <cell r="Y110">
            <v>3</v>
          </cell>
          <cell r="Z110">
            <v>0</v>
          </cell>
          <cell r="AA110">
            <v>0</v>
          </cell>
          <cell r="AB110" t="e">
            <v>#N/A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K110">
            <v>0</v>
          </cell>
          <cell r="AM110" t="e">
            <v>#REF!</v>
          </cell>
          <cell r="AN110" t="e">
            <v>#REF!</v>
          </cell>
          <cell r="AO110" t="e">
            <v>#REF!</v>
          </cell>
          <cell r="AP110" t="e">
            <v>#REF!</v>
          </cell>
          <cell r="AQ110" t="e">
            <v>#REF!</v>
          </cell>
          <cell r="AR110" t="e">
            <v>#REF!</v>
          </cell>
          <cell r="AS110" t="e">
            <v>#REF!</v>
          </cell>
          <cell r="AT110" t="e">
            <v>#REF!</v>
          </cell>
          <cell r="AV110" t="e">
            <v>#REF!</v>
          </cell>
          <cell r="AW110" t="e">
            <v>#REF!</v>
          </cell>
          <cell r="AX110" t="e">
            <v>#REF!</v>
          </cell>
          <cell r="AY110" t="e">
            <v>#REF!</v>
          </cell>
          <cell r="AZ110" t="e">
            <v>#REF!</v>
          </cell>
          <cell r="BA110" t="e">
            <v>#REF!</v>
          </cell>
          <cell r="BB110" t="e">
            <v>#REF!</v>
          </cell>
          <cell r="BC110" t="e">
            <v>#REF!</v>
          </cell>
          <cell r="BD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77036</v>
          </cell>
          <cell r="BM110" t="str">
            <v>Mossbrook School</v>
          </cell>
          <cell r="BN110">
            <v>48510</v>
          </cell>
          <cell r="BP110">
            <v>35640</v>
          </cell>
        </row>
        <row r="111">
          <cell r="C111">
            <v>5203</v>
          </cell>
          <cell r="D111" t="str">
            <v>St Joseph's Primary School CVA</v>
          </cell>
          <cell r="E111">
            <v>26</v>
          </cell>
          <cell r="F111">
            <v>0</v>
          </cell>
          <cell r="G111">
            <v>0</v>
          </cell>
          <cell r="H111">
            <v>3</v>
          </cell>
          <cell r="I111">
            <v>34320</v>
          </cell>
          <cell r="J111">
            <v>0</v>
          </cell>
          <cell r="K111">
            <v>6900</v>
          </cell>
          <cell r="L111">
            <v>41220</v>
          </cell>
          <cell r="M111"/>
          <cell r="N111" t="str">
            <v>Recoupment Academy</v>
          </cell>
          <cell r="O111">
            <v>0</v>
          </cell>
          <cell r="P111" t="b">
            <v>1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26</v>
          </cell>
          <cell r="W111">
            <v>0</v>
          </cell>
          <cell r="X111">
            <v>0</v>
          </cell>
          <cell r="Y111">
            <v>3</v>
          </cell>
          <cell r="Z111">
            <v>0</v>
          </cell>
          <cell r="AA111">
            <v>0</v>
          </cell>
          <cell r="AB111" t="e">
            <v>#N/A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K111">
            <v>0</v>
          </cell>
          <cell r="AM111" t="e">
            <v>#REF!</v>
          </cell>
          <cell r="AN111" t="e">
            <v>#REF!</v>
          </cell>
          <cell r="AO111" t="e">
            <v>#REF!</v>
          </cell>
          <cell r="AP111" t="e">
            <v>#REF!</v>
          </cell>
          <cell r="AQ111" t="e">
            <v>#REF!</v>
          </cell>
          <cell r="AR111" t="e">
            <v>#REF!</v>
          </cell>
          <cell r="AS111" t="e">
            <v>#REF!</v>
          </cell>
          <cell r="AT111" t="e">
            <v>#REF!</v>
          </cell>
          <cell r="AV111" t="e">
            <v>#REF!</v>
          </cell>
          <cell r="AW111" t="e">
            <v>#REF!</v>
          </cell>
          <cell r="AX111" t="e">
            <v>#REF!</v>
          </cell>
          <cell r="AY111" t="e">
            <v>#REF!</v>
          </cell>
          <cell r="AZ111" t="e">
            <v>#REF!</v>
          </cell>
          <cell r="BA111" t="e">
            <v>#REF!</v>
          </cell>
          <cell r="BB111" t="e">
            <v>#REF!</v>
          </cell>
          <cell r="BC111" t="e">
            <v>#REF!</v>
          </cell>
          <cell r="BD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77038</v>
          </cell>
          <cell r="BM111" t="str">
            <v>Becton School</v>
          </cell>
          <cell r="BN111">
            <v>15427.5</v>
          </cell>
          <cell r="BP111">
            <v>26400</v>
          </cell>
        </row>
        <row r="112">
          <cell r="C112">
            <v>3406</v>
          </cell>
          <cell r="D112" t="str">
            <v>St Marie's School  A Catholic Voluntary Academy</v>
          </cell>
          <cell r="E112">
            <v>25</v>
          </cell>
          <cell r="F112">
            <v>0</v>
          </cell>
          <cell r="G112">
            <v>0</v>
          </cell>
          <cell r="H112">
            <v>12</v>
          </cell>
          <cell r="I112">
            <v>33000</v>
          </cell>
          <cell r="J112">
            <v>0</v>
          </cell>
          <cell r="K112">
            <v>27600</v>
          </cell>
          <cell r="L112">
            <v>60600</v>
          </cell>
          <cell r="M112"/>
          <cell r="N112" t="str">
            <v>Recoupment Academy</v>
          </cell>
          <cell r="O112">
            <v>0</v>
          </cell>
          <cell r="P112" t="b">
            <v>1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25</v>
          </cell>
          <cell r="W112">
            <v>0</v>
          </cell>
          <cell r="X112">
            <v>0</v>
          </cell>
          <cell r="Y112">
            <v>12</v>
          </cell>
          <cell r="Z112">
            <v>0</v>
          </cell>
          <cell r="AA112">
            <v>0</v>
          </cell>
          <cell r="AB112" t="e">
            <v>#N/A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K112">
            <v>0</v>
          </cell>
          <cell r="AM112" t="e">
            <v>#REF!</v>
          </cell>
          <cell r="AN112" t="e">
            <v>#REF!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AY112" t="e">
            <v>#REF!</v>
          </cell>
          <cell r="AZ112" t="e">
            <v>#REF!</v>
          </cell>
          <cell r="BA112" t="e">
            <v>#REF!</v>
          </cell>
          <cell r="BB112" t="e">
            <v>#REF!</v>
          </cell>
          <cell r="BC112" t="e">
            <v>#REF!</v>
          </cell>
          <cell r="BD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77040</v>
          </cell>
          <cell r="BM112" t="str">
            <v>Heritage Park Community School</v>
          </cell>
          <cell r="BN112">
            <v>58024.25</v>
          </cell>
          <cell r="BP112">
            <v>38280</v>
          </cell>
        </row>
        <row r="113">
          <cell r="C113">
            <v>3423</v>
          </cell>
          <cell r="D113" t="str">
            <v>St Mary's Catholic Primary</v>
          </cell>
          <cell r="E113">
            <v>20</v>
          </cell>
          <cell r="F113">
            <v>0</v>
          </cell>
          <cell r="G113">
            <v>1</v>
          </cell>
          <cell r="H113">
            <v>7</v>
          </cell>
          <cell r="I113">
            <v>26400</v>
          </cell>
          <cell r="J113">
            <v>300</v>
          </cell>
          <cell r="K113">
            <v>16100</v>
          </cell>
          <cell r="L113">
            <v>42800</v>
          </cell>
          <cell r="M113"/>
          <cell r="N113" t="str">
            <v>Recoupment Academy</v>
          </cell>
          <cell r="O113">
            <v>0</v>
          </cell>
          <cell r="P113" t="b">
            <v>1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20</v>
          </cell>
          <cell r="W113">
            <v>0</v>
          </cell>
          <cell r="X113">
            <v>1</v>
          </cell>
          <cell r="Y113">
            <v>7</v>
          </cell>
          <cell r="Z113">
            <v>0</v>
          </cell>
          <cell r="AA113">
            <v>0</v>
          </cell>
          <cell r="AB113" t="e">
            <v>#N/A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K113">
            <v>0</v>
          </cell>
          <cell r="AM113" t="e">
            <v>#REF!</v>
          </cell>
          <cell r="AN113" t="e">
            <v>#REF!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AY113" t="e">
            <v>#REF!</v>
          </cell>
          <cell r="AZ113" t="e">
            <v>#REF!</v>
          </cell>
          <cell r="BA113" t="e">
            <v>#REF!</v>
          </cell>
          <cell r="BB113" t="e">
            <v>#REF!</v>
          </cell>
          <cell r="BC113" t="e">
            <v>#REF!</v>
          </cell>
          <cell r="BD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77041</v>
          </cell>
          <cell r="BM113" t="str">
            <v>Holgate Meadows Community Special School</v>
          </cell>
          <cell r="BN113">
            <v>55522.5</v>
          </cell>
          <cell r="BP113">
            <v>30360</v>
          </cell>
        </row>
        <row r="114">
          <cell r="C114">
            <v>5207</v>
          </cell>
          <cell r="D114" t="str">
            <v>St Patrick's Catholic Voluntary Academy</v>
          </cell>
          <cell r="E114">
            <v>73</v>
          </cell>
          <cell r="F114">
            <v>0</v>
          </cell>
          <cell r="G114">
            <v>1</v>
          </cell>
          <cell r="H114">
            <v>2</v>
          </cell>
          <cell r="I114">
            <v>96360</v>
          </cell>
          <cell r="J114">
            <v>300</v>
          </cell>
          <cell r="K114">
            <v>4600</v>
          </cell>
          <cell r="L114">
            <v>101260</v>
          </cell>
          <cell r="M114"/>
          <cell r="N114" t="str">
            <v>Recoupment Academy</v>
          </cell>
          <cell r="O114">
            <v>0</v>
          </cell>
          <cell r="P114" t="b">
            <v>1</v>
          </cell>
          <cell r="Q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73</v>
          </cell>
          <cell r="W114">
            <v>0</v>
          </cell>
          <cell r="X114">
            <v>1</v>
          </cell>
          <cell r="Y114">
            <v>2</v>
          </cell>
          <cell r="Z114">
            <v>0</v>
          </cell>
          <cell r="AA114">
            <v>0</v>
          </cell>
          <cell r="AB114" t="e">
            <v>#N/A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K114">
            <v>0</v>
          </cell>
          <cell r="AM114" t="e">
            <v>#REF!</v>
          </cell>
          <cell r="AN114" t="e">
            <v>#REF!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AY114" t="e">
            <v>#REF!</v>
          </cell>
          <cell r="AZ114" t="e">
            <v>#REF!</v>
          </cell>
          <cell r="BA114" t="e">
            <v>#REF!</v>
          </cell>
          <cell r="BB114" t="e">
            <v>#REF!</v>
          </cell>
          <cell r="BC114" t="e">
            <v>#REF!</v>
          </cell>
          <cell r="BD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77043</v>
          </cell>
          <cell r="BM114" t="str">
            <v>Seven Hills School</v>
          </cell>
          <cell r="BN114">
            <v>56101</v>
          </cell>
          <cell r="BP114">
            <v>104280</v>
          </cell>
        </row>
        <row r="115">
          <cell r="C115">
            <v>5208</v>
          </cell>
          <cell r="D115" t="str">
            <v>St Theresa's Primary School</v>
          </cell>
          <cell r="E115">
            <v>76</v>
          </cell>
          <cell r="F115">
            <v>0</v>
          </cell>
          <cell r="G115">
            <v>0</v>
          </cell>
          <cell r="H115">
            <v>0</v>
          </cell>
          <cell r="I115">
            <v>100320</v>
          </cell>
          <cell r="J115">
            <v>0</v>
          </cell>
          <cell r="K115">
            <v>0</v>
          </cell>
          <cell r="L115">
            <v>100320</v>
          </cell>
          <cell r="M115"/>
          <cell r="N115">
            <v>0</v>
          </cell>
          <cell r="O115">
            <v>0</v>
          </cell>
          <cell r="P115" t="b">
            <v>0</v>
          </cell>
          <cell r="Q115">
            <v>0</v>
          </cell>
          <cell r="R115">
            <v>12</v>
          </cell>
          <cell r="S115">
            <v>1320</v>
          </cell>
          <cell r="U115">
            <v>100320</v>
          </cell>
          <cell r="V115">
            <v>76</v>
          </cell>
          <cell r="W115">
            <v>0</v>
          </cell>
          <cell r="X115">
            <v>0</v>
          </cell>
          <cell r="Y115">
            <v>0</v>
          </cell>
          <cell r="Z115">
            <v>100320</v>
          </cell>
          <cell r="AA115">
            <v>0</v>
          </cell>
          <cell r="AB115">
            <v>0</v>
          </cell>
          <cell r="AC115">
            <v>24750</v>
          </cell>
          <cell r="AD115">
            <v>25190</v>
          </cell>
          <cell r="AE115">
            <v>25190</v>
          </cell>
          <cell r="AF115">
            <v>25190</v>
          </cell>
          <cell r="AG115">
            <v>0</v>
          </cell>
          <cell r="AK115">
            <v>99000</v>
          </cell>
          <cell r="AM115" t="e">
            <v>#REF!</v>
          </cell>
          <cell r="AN115" t="e">
            <v>#REF!</v>
          </cell>
          <cell r="AO115" t="e">
            <v>#REF!</v>
          </cell>
          <cell r="AP115" t="e">
            <v>#REF!</v>
          </cell>
          <cell r="AQ115" t="e">
            <v>#REF!</v>
          </cell>
          <cell r="AR115" t="e">
            <v>#REF!</v>
          </cell>
          <cell r="AS115" t="e">
            <v>#REF!</v>
          </cell>
          <cell r="AT115" t="e">
            <v>#REF!</v>
          </cell>
          <cell r="AV115" t="e">
            <v>#REF!</v>
          </cell>
          <cell r="AW115" t="e">
            <v>#REF!</v>
          </cell>
          <cell r="AX115" t="e">
            <v>#REF!</v>
          </cell>
          <cell r="AY115" t="e">
            <v>#REF!</v>
          </cell>
          <cell r="AZ115" t="e">
            <v>#REF!</v>
          </cell>
          <cell r="BA115" t="e">
            <v>#REF!</v>
          </cell>
          <cell r="BB115" t="e">
            <v>#REF!</v>
          </cell>
          <cell r="BC115" t="e">
            <v>#REF!</v>
          </cell>
          <cell r="BD115">
            <v>0</v>
          </cell>
          <cell r="BG115">
            <v>0</v>
          </cell>
          <cell r="BH115">
            <v>-100320</v>
          </cell>
          <cell r="BI115">
            <v>0</v>
          </cell>
          <cell r="BJ115">
            <v>-75130</v>
          </cell>
          <cell r="BK115">
            <v>0</v>
          </cell>
          <cell r="BL115">
            <v>71100</v>
          </cell>
          <cell r="BM115" t="str">
            <v>Sheffield Inclusion Centre</v>
          </cell>
          <cell r="BN115">
            <v>105146.75</v>
          </cell>
          <cell r="BP115">
            <v>99000</v>
          </cell>
        </row>
        <row r="116">
          <cell r="C116">
            <v>3424</v>
          </cell>
          <cell r="D116" t="str">
            <v>St Thomas More Catholic School</v>
          </cell>
          <cell r="E116">
            <v>41</v>
          </cell>
          <cell r="F116">
            <v>0</v>
          </cell>
          <cell r="G116">
            <v>0</v>
          </cell>
          <cell r="H116">
            <v>2</v>
          </cell>
          <cell r="I116">
            <v>54120</v>
          </cell>
          <cell r="J116">
            <v>0</v>
          </cell>
          <cell r="K116">
            <v>4600</v>
          </cell>
          <cell r="L116">
            <v>58720</v>
          </cell>
          <cell r="M116"/>
          <cell r="N116" t="str">
            <v>Recoupment Academy</v>
          </cell>
          <cell r="O116">
            <v>0</v>
          </cell>
          <cell r="P116" t="b">
            <v>1</v>
          </cell>
          <cell r="Q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40</v>
          </cell>
          <cell r="W116">
            <v>0</v>
          </cell>
          <cell r="X116">
            <v>0</v>
          </cell>
          <cell r="Y116">
            <v>2</v>
          </cell>
          <cell r="Z116">
            <v>0</v>
          </cell>
          <cell r="AA116">
            <v>0</v>
          </cell>
          <cell r="AB116" t="e">
            <v>#N/A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K116">
            <v>0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Q116" t="e">
            <v>#REF!</v>
          </cell>
          <cell r="AR116" t="e">
            <v>#REF!</v>
          </cell>
          <cell r="AS116" t="e">
            <v>#REF!</v>
          </cell>
          <cell r="AT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AZ116" t="e">
            <v>#REF!</v>
          </cell>
          <cell r="BA116" t="e">
            <v>#REF!</v>
          </cell>
          <cell r="BB116" t="e">
            <v>#REF!</v>
          </cell>
          <cell r="BC116" t="e">
            <v>#REF!</v>
          </cell>
          <cell r="BD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64230</v>
          </cell>
          <cell r="BM116" t="e">
            <v>#N/A</v>
          </cell>
          <cell r="BP116">
            <v>56760</v>
          </cell>
        </row>
        <row r="117">
          <cell r="C117">
            <v>3414</v>
          </cell>
          <cell r="D117" t="str">
            <v>St Thomas of Canterbury School A Catholic Voluntary Academy</v>
          </cell>
          <cell r="E117">
            <v>19</v>
          </cell>
          <cell r="F117">
            <v>0</v>
          </cell>
          <cell r="G117">
            <v>1</v>
          </cell>
          <cell r="H117">
            <v>3</v>
          </cell>
          <cell r="I117">
            <v>25080</v>
          </cell>
          <cell r="J117">
            <v>300</v>
          </cell>
          <cell r="K117">
            <v>6900</v>
          </cell>
          <cell r="L117">
            <v>32280</v>
          </cell>
          <cell r="M117"/>
          <cell r="N117" t="str">
            <v>Recoupment Academy</v>
          </cell>
          <cell r="O117">
            <v>0</v>
          </cell>
          <cell r="P117" t="b">
            <v>1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19</v>
          </cell>
          <cell r="W117">
            <v>0</v>
          </cell>
          <cell r="X117">
            <v>1</v>
          </cell>
          <cell r="Y117">
            <v>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K117">
            <v>0</v>
          </cell>
          <cell r="AM117" t="e">
            <v>#REF!</v>
          </cell>
          <cell r="AN117" t="e">
            <v>#REF!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AY117" t="e">
            <v>#REF!</v>
          </cell>
          <cell r="AZ117" t="e">
            <v>#REF!</v>
          </cell>
          <cell r="BA117" t="e">
            <v>#REF!</v>
          </cell>
          <cell r="BB117" t="e">
            <v>#REF!</v>
          </cell>
          <cell r="BC117" t="e">
            <v>#REF!</v>
          </cell>
          <cell r="BD117">
            <v>0</v>
          </cell>
          <cell r="BG117">
            <v>104280</v>
          </cell>
          <cell r="BH117">
            <v>104280</v>
          </cell>
          <cell r="BI117">
            <v>0</v>
          </cell>
          <cell r="BJ117">
            <v>0</v>
          </cell>
          <cell r="BK117">
            <v>0</v>
          </cell>
          <cell r="BL117">
            <v>33007</v>
          </cell>
          <cell r="BM117" t="str">
            <v>Alternative Provision</v>
          </cell>
          <cell r="BN117">
            <v>23880</v>
          </cell>
          <cell r="BP117">
            <v>19800</v>
          </cell>
        </row>
        <row r="118">
          <cell r="C118">
            <v>2020</v>
          </cell>
          <cell r="D118" t="str">
            <v>St. Mary's CE Academy Walkley</v>
          </cell>
          <cell r="E118">
            <v>44</v>
          </cell>
          <cell r="F118">
            <v>0</v>
          </cell>
          <cell r="G118">
            <v>0</v>
          </cell>
          <cell r="H118">
            <v>3</v>
          </cell>
          <cell r="I118">
            <v>58080</v>
          </cell>
          <cell r="J118">
            <v>0</v>
          </cell>
          <cell r="K118">
            <v>6900</v>
          </cell>
          <cell r="L118">
            <v>64980</v>
          </cell>
          <cell r="M118"/>
          <cell r="N118" t="str">
            <v>Recoupment Academy</v>
          </cell>
          <cell r="O118">
            <v>0</v>
          </cell>
          <cell r="P118" t="b">
            <v>1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44</v>
          </cell>
          <cell r="W118">
            <v>0</v>
          </cell>
          <cell r="X118">
            <v>0</v>
          </cell>
          <cell r="Y118">
            <v>3</v>
          </cell>
          <cell r="Z118">
            <v>0</v>
          </cell>
          <cell r="AA118">
            <v>0</v>
          </cell>
          <cell r="AB118" t="e">
            <v>#N/A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K118">
            <v>0</v>
          </cell>
          <cell r="AM118" t="e">
            <v>#REF!</v>
          </cell>
          <cell r="AN118" t="e">
            <v>#REF!</v>
          </cell>
          <cell r="AO118" t="e">
            <v>#REF!</v>
          </cell>
          <cell r="AP118" t="e">
            <v>#REF!</v>
          </cell>
          <cell r="AQ118" t="e">
            <v>#REF!</v>
          </cell>
          <cell r="AR118" t="e">
            <v>#REF!</v>
          </cell>
          <cell r="AS118" t="e">
            <v>#REF!</v>
          </cell>
          <cell r="AT118" t="e">
            <v>#REF!</v>
          </cell>
          <cell r="AV118" t="e">
            <v>#REF!</v>
          </cell>
          <cell r="AW118" t="e">
            <v>#REF!</v>
          </cell>
          <cell r="AX118" t="e">
            <v>#REF!</v>
          </cell>
          <cell r="AY118" t="e">
            <v>#REF!</v>
          </cell>
          <cell r="AZ118" t="e">
            <v>#REF!</v>
          </cell>
          <cell r="BA118" t="e">
            <v>#REF!</v>
          </cell>
          <cell r="BB118" t="e">
            <v>#REF!</v>
          </cell>
          <cell r="BC118" t="e">
            <v>#REF!</v>
          </cell>
          <cell r="BD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P118">
            <v>58080</v>
          </cell>
        </row>
        <row r="119">
          <cell r="C119">
            <v>3412</v>
          </cell>
          <cell r="D119" t="str">
            <v>St.Wilfrid's Primary School  a Catholic V.A.</v>
          </cell>
          <cell r="E119">
            <v>6</v>
          </cell>
          <cell r="F119">
            <v>0</v>
          </cell>
          <cell r="G119">
            <v>2</v>
          </cell>
          <cell r="H119">
            <v>4</v>
          </cell>
          <cell r="I119">
            <v>7920</v>
          </cell>
          <cell r="J119">
            <v>600</v>
          </cell>
          <cell r="K119">
            <v>9200</v>
          </cell>
          <cell r="L119">
            <v>17720</v>
          </cell>
          <cell r="M119"/>
          <cell r="N119" t="str">
            <v>Recoupment Academy</v>
          </cell>
          <cell r="O119">
            <v>0</v>
          </cell>
          <cell r="P119" t="b">
            <v>1</v>
          </cell>
          <cell r="Q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6</v>
          </cell>
          <cell r="W119">
            <v>0</v>
          </cell>
          <cell r="X119">
            <v>2</v>
          </cell>
          <cell r="Y119">
            <v>4</v>
          </cell>
          <cell r="Z119">
            <v>0</v>
          </cell>
          <cell r="AA119">
            <v>0</v>
          </cell>
          <cell r="AB119" t="e">
            <v>#N/A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K119">
            <v>0</v>
          </cell>
          <cell r="AM119" t="e">
            <v>#REF!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  <cell r="AR119" t="e">
            <v>#REF!</v>
          </cell>
          <cell r="AS119" t="e">
            <v>#REF!</v>
          </cell>
          <cell r="AT119" t="e">
            <v>#REF!</v>
          </cell>
          <cell r="AV119" t="e">
            <v>#REF!</v>
          </cell>
          <cell r="AW119" t="e">
            <v>#REF!</v>
          </cell>
          <cell r="AX119" t="e">
            <v>#REF!</v>
          </cell>
          <cell r="AY119" t="e">
            <v>#REF!</v>
          </cell>
          <cell r="AZ119" t="e">
            <v>#REF!</v>
          </cell>
          <cell r="BA119" t="e">
            <v>#REF!</v>
          </cell>
          <cell r="BB119" t="e">
            <v>#REF!</v>
          </cell>
          <cell r="BC119" t="e">
            <v>#REF!</v>
          </cell>
          <cell r="BD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P119">
            <v>9240</v>
          </cell>
        </row>
        <row r="120">
          <cell r="C120">
            <v>2294</v>
          </cell>
          <cell r="D120" t="str">
            <v>Stannington Infant School</v>
          </cell>
          <cell r="E120">
            <v>11</v>
          </cell>
          <cell r="F120">
            <v>0</v>
          </cell>
          <cell r="G120">
            <v>0</v>
          </cell>
          <cell r="H120">
            <v>3</v>
          </cell>
          <cell r="I120">
            <v>14520</v>
          </cell>
          <cell r="J120">
            <v>0</v>
          </cell>
          <cell r="K120">
            <v>6900</v>
          </cell>
          <cell r="L120">
            <v>21420</v>
          </cell>
          <cell r="M120"/>
          <cell r="N120">
            <v>0</v>
          </cell>
          <cell r="O120">
            <v>0</v>
          </cell>
          <cell r="P120" t="b">
            <v>0</v>
          </cell>
          <cell r="Q120">
            <v>0</v>
          </cell>
          <cell r="R120">
            <v>12</v>
          </cell>
          <cell r="S120">
            <v>1320</v>
          </cell>
          <cell r="U120">
            <v>21420</v>
          </cell>
          <cell r="V120">
            <v>11</v>
          </cell>
          <cell r="W120">
            <v>0</v>
          </cell>
          <cell r="X120">
            <v>0</v>
          </cell>
          <cell r="Y120">
            <v>3</v>
          </cell>
          <cell r="Z120">
            <v>21420</v>
          </cell>
          <cell r="AA120">
            <v>0</v>
          </cell>
          <cell r="AB120">
            <v>0</v>
          </cell>
          <cell r="AC120">
            <v>5610</v>
          </cell>
          <cell r="AD120">
            <v>5270</v>
          </cell>
          <cell r="AE120">
            <v>2593</v>
          </cell>
          <cell r="AF120">
            <v>7947</v>
          </cell>
          <cell r="AG120">
            <v>0</v>
          </cell>
          <cell r="AK120">
            <v>22440</v>
          </cell>
          <cell r="AM120" t="e">
            <v>#REF!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  <cell r="AR120" t="e">
            <v>#REF!</v>
          </cell>
          <cell r="AS120" t="e">
            <v>#REF!</v>
          </cell>
          <cell r="AT120" t="e">
            <v>#REF!</v>
          </cell>
          <cell r="AV120" t="e">
            <v>#REF!</v>
          </cell>
          <cell r="AW120" t="e">
            <v>#REF!</v>
          </cell>
          <cell r="AX120" t="e">
            <v>#REF!</v>
          </cell>
          <cell r="AY120" t="e">
            <v>#REF!</v>
          </cell>
          <cell r="AZ120" t="e">
            <v>#REF!</v>
          </cell>
          <cell r="BA120" t="e">
            <v>#REF!</v>
          </cell>
          <cell r="BB120" t="e">
            <v>#REF!</v>
          </cell>
          <cell r="BC120" t="e">
            <v>#REF!</v>
          </cell>
          <cell r="BD120">
            <v>0</v>
          </cell>
          <cell r="BG120">
            <v>0</v>
          </cell>
          <cell r="BH120">
            <v>-21420</v>
          </cell>
          <cell r="BI120">
            <v>0</v>
          </cell>
          <cell r="BJ120">
            <v>-13473</v>
          </cell>
          <cell r="BK120">
            <v>0</v>
          </cell>
          <cell r="BP120">
            <v>22440</v>
          </cell>
        </row>
        <row r="121">
          <cell r="C121">
            <v>2303</v>
          </cell>
          <cell r="D121" t="str">
            <v>Stocksbridge Junior School</v>
          </cell>
          <cell r="E121">
            <v>101</v>
          </cell>
          <cell r="F121">
            <v>0</v>
          </cell>
          <cell r="G121">
            <v>4</v>
          </cell>
          <cell r="H121">
            <v>2</v>
          </cell>
          <cell r="I121">
            <v>133320</v>
          </cell>
          <cell r="J121">
            <v>1200</v>
          </cell>
          <cell r="K121">
            <v>4600</v>
          </cell>
          <cell r="L121">
            <v>139120</v>
          </cell>
          <cell r="M121"/>
          <cell r="N121">
            <v>0</v>
          </cell>
          <cell r="O121">
            <v>0</v>
          </cell>
          <cell r="P121" t="b">
            <v>0</v>
          </cell>
          <cell r="Q121">
            <v>0</v>
          </cell>
          <cell r="R121">
            <v>12</v>
          </cell>
          <cell r="S121">
            <v>1320</v>
          </cell>
          <cell r="U121">
            <v>139120</v>
          </cell>
          <cell r="V121">
            <v>100</v>
          </cell>
          <cell r="W121">
            <v>0</v>
          </cell>
          <cell r="X121">
            <v>4</v>
          </cell>
          <cell r="Y121">
            <v>2</v>
          </cell>
          <cell r="Z121">
            <v>137800</v>
          </cell>
          <cell r="AA121">
            <v>-1320</v>
          </cell>
          <cell r="AB121">
            <v>-1320</v>
          </cell>
          <cell r="AC121">
            <v>32010</v>
          </cell>
          <cell r="AD121">
            <v>35703.333333333336</v>
          </cell>
          <cell r="AE121">
            <v>35043.333333333328</v>
          </cell>
          <cell r="AF121">
            <v>35043.333333333328</v>
          </cell>
          <cell r="AG121">
            <v>0</v>
          </cell>
          <cell r="AK121">
            <v>128040</v>
          </cell>
          <cell r="AM121" t="e">
            <v>#REF!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  <cell r="AR121" t="e">
            <v>#REF!</v>
          </cell>
          <cell r="AS121" t="e">
            <v>#REF!</v>
          </cell>
          <cell r="AT121" t="e">
            <v>#REF!</v>
          </cell>
          <cell r="AV121" t="e">
            <v>#REF!</v>
          </cell>
          <cell r="AW121" t="e">
            <v>#REF!</v>
          </cell>
          <cell r="AX121" t="e">
            <v>#REF!</v>
          </cell>
          <cell r="AY121" t="e">
            <v>#REF!</v>
          </cell>
          <cell r="AZ121" t="e">
            <v>#REF!</v>
          </cell>
          <cell r="BA121" t="e">
            <v>#REF!</v>
          </cell>
          <cell r="BB121" t="e">
            <v>#REF!</v>
          </cell>
          <cell r="BC121" t="e">
            <v>#REF!</v>
          </cell>
          <cell r="BD121">
            <v>-1320</v>
          </cell>
          <cell r="BG121">
            <v>29460</v>
          </cell>
          <cell r="BH121">
            <v>-109660</v>
          </cell>
          <cell r="BI121">
            <v>0</v>
          </cell>
          <cell r="BJ121">
            <v>-102756.66666666667</v>
          </cell>
          <cell r="BK121">
            <v>0</v>
          </cell>
          <cell r="BP121">
            <v>128040</v>
          </cell>
        </row>
        <row r="122">
          <cell r="C122">
            <v>2302</v>
          </cell>
          <cell r="D122" t="str">
            <v>Stocksbridge Nursery/Infant</v>
          </cell>
          <cell r="E122">
            <v>47</v>
          </cell>
          <cell r="F122">
            <v>0</v>
          </cell>
          <cell r="G122">
            <v>1</v>
          </cell>
          <cell r="H122">
            <v>3</v>
          </cell>
          <cell r="I122">
            <v>62040</v>
          </cell>
          <cell r="J122">
            <v>300</v>
          </cell>
          <cell r="K122">
            <v>6900</v>
          </cell>
          <cell r="L122">
            <v>69240</v>
          </cell>
          <cell r="M122"/>
          <cell r="N122">
            <v>0</v>
          </cell>
          <cell r="O122">
            <v>0</v>
          </cell>
          <cell r="P122" t="b">
            <v>0</v>
          </cell>
          <cell r="Q122">
            <v>0</v>
          </cell>
          <cell r="R122">
            <v>12</v>
          </cell>
          <cell r="S122">
            <v>1320</v>
          </cell>
          <cell r="U122">
            <v>69240</v>
          </cell>
          <cell r="V122">
            <v>45</v>
          </cell>
          <cell r="W122">
            <v>0</v>
          </cell>
          <cell r="X122">
            <v>1</v>
          </cell>
          <cell r="Y122">
            <v>3</v>
          </cell>
          <cell r="Z122">
            <v>66600</v>
          </cell>
          <cell r="AA122">
            <v>-2640</v>
          </cell>
          <cell r="AB122">
            <v>-2640</v>
          </cell>
          <cell r="AC122">
            <v>15180</v>
          </cell>
          <cell r="AD122">
            <v>18020</v>
          </cell>
          <cell r="AE122">
            <v>16700</v>
          </cell>
          <cell r="AF122">
            <v>16700</v>
          </cell>
          <cell r="AG122">
            <v>0</v>
          </cell>
          <cell r="AK122">
            <v>60720</v>
          </cell>
          <cell r="AM122" t="e">
            <v>#REF!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  <cell r="AR122" t="e">
            <v>#REF!</v>
          </cell>
          <cell r="AS122" t="e">
            <v>#REF!</v>
          </cell>
          <cell r="AT122" t="e">
            <v>#REF!</v>
          </cell>
          <cell r="AV122" t="e">
            <v>#REF!</v>
          </cell>
          <cell r="AW122" t="e">
            <v>#REF!</v>
          </cell>
          <cell r="AX122" t="e">
            <v>#REF!</v>
          </cell>
          <cell r="AY122" t="e">
            <v>#REF!</v>
          </cell>
          <cell r="AZ122" t="e">
            <v>#REF!</v>
          </cell>
          <cell r="BA122" t="e">
            <v>#REF!</v>
          </cell>
          <cell r="BB122" t="e">
            <v>#REF!</v>
          </cell>
          <cell r="BC122" t="e">
            <v>#REF!</v>
          </cell>
          <cell r="BD122">
            <v>-2640</v>
          </cell>
          <cell r="BG122">
            <v>113820</v>
          </cell>
          <cell r="BH122">
            <v>44580</v>
          </cell>
          <cell r="BI122">
            <v>0</v>
          </cell>
          <cell r="BJ122">
            <v>-49900</v>
          </cell>
          <cell r="BK122">
            <v>0</v>
          </cell>
          <cell r="BP122">
            <v>60720</v>
          </cell>
        </row>
        <row r="123">
          <cell r="C123">
            <v>2350</v>
          </cell>
          <cell r="D123" t="str">
            <v>Stradbroke Primary School</v>
          </cell>
          <cell r="E123">
            <v>169</v>
          </cell>
          <cell r="F123">
            <v>0</v>
          </cell>
          <cell r="G123">
            <v>3</v>
          </cell>
          <cell r="H123">
            <v>6</v>
          </cell>
          <cell r="I123">
            <v>223080</v>
          </cell>
          <cell r="J123">
            <v>900</v>
          </cell>
          <cell r="K123">
            <v>13800</v>
          </cell>
          <cell r="L123">
            <v>237780</v>
          </cell>
          <cell r="M123"/>
          <cell r="N123">
            <v>0</v>
          </cell>
          <cell r="O123">
            <v>0</v>
          </cell>
          <cell r="P123" t="b">
            <v>0</v>
          </cell>
          <cell r="Q123">
            <v>0</v>
          </cell>
          <cell r="R123">
            <v>12</v>
          </cell>
          <cell r="S123">
            <v>1320</v>
          </cell>
          <cell r="U123">
            <v>237780</v>
          </cell>
          <cell r="V123">
            <v>165</v>
          </cell>
          <cell r="W123">
            <v>0</v>
          </cell>
          <cell r="X123">
            <v>3</v>
          </cell>
          <cell r="Y123">
            <v>6</v>
          </cell>
          <cell r="Z123">
            <v>232500</v>
          </cell>
          <cell r="AA123">
            <v>-5280</v>
          </cell>
          <cell r="AB123">
            <v>-5280</v>
          </cell>
          <cell r="AC123">
            <v>53460</v>
          </cell>
          <cell r="AD123">
            <v>61440</v>
          </cell>
          <cell r="AE123">
            <v>58800</v>
          </cell>
          <cell r="AF123">
            <v>58800</v>
          </cell>
          <cell r="AG123">
            <v>0</v>
          </cell>
          <cell r="AK123">
            <v>213840</v>
          </cell>
          <cell r="AM123" t="e">
            <v>#REF!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AY123" t="e">
            <v>#REF!</v>
          </cell>
          <cell r="AZ123" t="e">
            <v>#REF!</v>
          </cell>
          <cell r="BA123" t="e">
            <v>#REF!</v>
          </cell>
          <cell r="BB123" t="e">
            <v>#REF!</v>
          </cell>
          <cell r="BC123" t="e">
            <v>#REF!</v>
          </cell>
          <cell r="BD123">
            <v>-5280</v>
          </cell>
          <cell r="BG123">
            <v>59700</v>
          </cell>
          <cell r="BH123">
            <v>-178080</v>
          </cell>
          <cell r="BI123">
            <v>0</v>
          </cell>
          <cell r="BJ123">
            <v>-173700</v>
          </cell>
          <cell r="BK123">
            <v>0</v>
          </cell>
          <cell r="BP123">
            <v>213840</v>
          </cell>
        </row>
        <row r="124">
          <cell r="C124">
            <v>2002</v>
          </cell>
          <cell r="D124" t="str">
            <v>The Nether Edge Primary School</v>
          </cell>
          <cell r="E124">
            <v>113</v>
          </cell>
          <cell r="F124">
            <v>0</v>
          </cell>
          <cell r="G124">
            <v>0</v>
          </cell>
          <cell r="H124">
            <v>0</v>
          </cell>
          <cell r="I124">
            <v>149160</v>
          </cell>
          <cell r="J124">
            <v>0</v>
          </cell>
          <cell r="K124">
            <v>0</v>
          </cell>
          <cell r="L124">
            <v>149160</v>
          </cell>
          <cell r="M124"/>
          <cell r="N124" t="str">
            <v>Recoupment Academy</v>
          </cell>
          <cell r="O124">
            <v>0</v>
          </cell>
          <cell r="P124" t="b">
            <v>1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113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 t="e">
            <v>#N/A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K124">
            <v>0</v>
          </cell>
          <cell r="AM124" t="e">
            <v>#REF!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  <cell r="AR124" t="e">
            <v>#REF!</v>
          </cell>
          <cell r="AS124" t="e">
            <v>#REF!</v>
          </cell>
          <cell r="AT124" t="e">
            <v>#REF!</v>
          </cell>
          <cell r="AV124" t="e">
            <v>#REF!</v>
          </cell>
          <cell r="AW124" t="e">
            <v>#REF!</v>
          </cell>
          <cell r="AX124" t="e">
            <v>#REF!</v>
          </cell>
          <cell r="AY124" t="e">
            <v>#REF!</v>
          </cell>
          <cell r="AZ124" t="e">
            <v>#REF!</v>
          </cell>
          <cell r="BA124" t="e">
            <v>#REF!</v>
          </cell>
          <cell r="BB124" t="e">
            <v>#REF!</v>
          </cell>
          <cell r="BC124" t="e">
            <v>#REF!</v>
          </cell>
          <cell r="BD124">
            <v>0</v>
          </cell>
          <cell r="BG124">
            <v>219100</v>
          </cell>
          <cell r="BH124">
            <v>219100</v>
          </cell>
          <cell r="BI124">
            <v>0</v>
          </cell>
          <cell r="BJ124">
            <v>0</v>
          </cell>
          <cell r="BK124">
            <v>0</v>
          </cell>
          <cell r="BP124">
            <v>151800</v>
          </cell>
        </row>
        <row r="125">
          <cell r="C125">
            <v>2230</v>
          </cell>
          <cell r="D125" t="str">
            <v>Tinsley Meadows Primary School</v>
          </cell>
          <cell r="E125">
            <v>184</v>
          </cell>
          <cell r="F125">
            <v>0</v>
          </cell>
          <cell r="G125">
            <v>0</v>
          </cell>
          <cell r="H125">
            <v>0</v>
          </cell>
          <cell r="I125">
            <v>242880</v>
          </cell>
          <cell r="J125">
            <v>0</v>
          </cell>
          <cell r="K125">
            <v>0</v>
          </cell>
          <cell r="L125">
            <v>242880</v>
          </cell>
          <cell r="M125"/>
          <cell r="N125" t="str">
            <v>Recoupment Academy</v>
          </cell>
          <cell r="O125">
            <v>0</v>
          </cell>
          <cell r="P125" t="b">
            <v>1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184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 t="e">
            <v>#N/A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K125">
            <v>0</v>
          </cell>
          <cell r="AM125" t="e">
            <v>#REF!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  <cell r="AR125" t="e">
            <v>#REF!</v>
          </cell>
          <cell r="AS125" t="e">
            <v>#REF!</v>
          </cell>
          <cell r="AT125" t="e">
            <v>#REF!</v>
          </cell>
          <cell r="AV125" t="e">
            <v>#REF!</v>
          </cell>
          <cell r="AW125" t="e">
            <v>#REF!</v>
          </cell>
          <cell r="AX125" t="e">
            <v>#REF!</v>
          </cell>
          <cell r="AY125" t="e">
            <v>#REF!</v>
          </cell>
          <cell r="AZ125" t="e">
            <v>#REF!</v>
          </cell>
          <cell r="BA125" t="e">
            <v>#REF!</v>
          </cell>
          <cell r="BB125" t="e">
            <v>#REF!</v>
          </cell>
          <cell r="BC125" t="e">
            <v>#REF!</v>
          </cell>
          <cell r="BD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P125">
            <v>241560</v>
          </cell>
        </row>
        <row r="126">
          <cell r="C126">
            <v>5206</v>
          </cell>
          <cell r="D126" t="str">
            <v>Totley All Saints CE School</v>
          </cell>
          <cell r="E126">
            <v>25</v>
          </cell>
          <cell r="F126">
            <v>0</v>
          </cell>
          <cell r="G126">
            <v>0</v>
          </cell>
          <cell r="H126">
            <v>2</v>
          </cell>
          <cell r="I126">
            <v>33000</v>
          </cell>
          <cell r="J126">
            <v>0</v>
          </cell>
          <cell r="K126">
            <v>4600</v>
          </cell>
          <cell r="L126">
            <v>37600</v>
          </cell>
          <cell r="M126"/>
          <cell r="N126">
            <v>0</v>
          </cell>
          <cell r="O126">
            <v>0</v>
          </cell>
          <cell r="P126" t="b">
            <v>0</v>
          </cell>
          <cell r="Q126">
            <v>0</v>
          </cell>
          <cell r="R126">
            <v>12</v>
          </cell>
          <cell r="S126">
            <v>1320</v>
          </cell>
          <cell r="U126">
            <v>37600</v>
          </cell>
          <cell r="V126">
            <v>25</v>
          </cell>
          <cell r="W126">
            <v>0</v>
          </cell>
          <cell r="X126">
            <v>0</v>
          </cell>
          <cell r="Y126">
            <v>2</v>
          </cell>
          <cell r="Z126">
            <v>37600</v>
          </cell>
          <cell r="AA126">
            <v>0</v>
          </cell>
          <cell r="AB126">
            <v>0</v>
          </cell>
          <cell r="AC126">
            <v>7260</v>
          </cell>
          <cell r="AD126">
            <v>10113.333333333334</v>
          </cell>
          <cell r="AE126">
            <v>10113.333333333332</v>
          </cell>
          <cell r="AF126">
            <v>10113.333333333332</v>
          </cell>
          <cell r="AG126">
            <v>0</v>
          </cell>
          <cell r="AK126">
            <v>29040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>
            <v>0</v>
          </cell>
          <cell r="BG126">
            <v>103400</v>
          </cell>
          <cell r="BH126">
            <v>65800</v>
          </cell>
          <cell r="BI126">
            <v>0</v>
          </cell>
          <cell r="BJ126">
            <v>74813.333333333328</v>
          </cell>
          <cell r="BK126">
            <v>0</v>
          </cell>
          <cell r="BP126">
            <v>29040</v>
          </cell>
        </row>
        <row r="127">
          <cell r="C127">
            <v>2203</v>
          </cell>
          <cell r="D127" t="str">
            <v>Totley Primary</v>
          </cell>
          <cell r="E127">
            <v>24</v>
          </cell>
          <cell r="F127">
            <v>0</v>
          </cell>
          <cell r="G127">
            <v>1</v>
          </cell>
          <cell r="H127">
            <v>4</v>
          </cell>
          <cell r="I127">
            <v>31680</v>
          </cell>
          <cell r="J127">
            <v>300</v>
          </cell>
          <cell r="K127">
            <v>9200</v>
          </cell>
          <cell r="L127">
            <v>41180</v>
          </cell>
          <cell r="M127"/>
          <cell r="N127" t="str">
            <v>Recoupment Academy</v>
          </cell>
          <cell r="O127">
            <v>0</v>
          </cell>
          <cell r="P127" t="b">
            <v>1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24</v>
          </cell>
          <cell r="W127">
            <v>0</v>
          </cell>
          <cell r="X127">
            <v>1</v>
          </cell>
          <cell r="Y127">
            <v>4</v>
          </cell>
          <cell r="Z127">
            <v>0</v>
          </cell>
          <cell r="AA127">
            <v>0</v>
          </cell>
          <cell r="AB127" t="e">
            <v>#N/A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K127">
            <v>0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>
            <v>0</v>
          </cell>
          <cell r="BG127">
            <v>32840</v>
          </cell>
          <cell r="BH127">
            <v>32840</v>
          </cell>
          <cell r="BI127">
            <v>0</v>
          </cell>
          <cell r="BJ127">
            <v>0</v>
          </cell>
          <cell r="BK127">
            <v>0</v>
          </cell>
          <cell r="BP127">
            <v>29040</v>
          </cell>
        </row>
        <row r="128">
          <cell r="C128">
            <v>2034</v>
          </cell>
          <cell r="D128" t="str">
            <v>Valley Park</v>
          </cell>
          <cell r="E128">
            <v>261</v>
          </cell>
          <cell r="F128">
            <v>0</v>
          </cell>
          <cell r="G128">
            <v>0</v>
          </cell>
          <cell r="H128">
            <v>0</v>
          </cell>
          <cell r="I128">
            <v>344520</v>
          </cell>
          <cell r="J128">
            <v>0</v>
          </cell>
          <cell r="K128">
            <v>0</v>
          </cell>
          <cell r="L128">
            <v>344520</v>
          </cell>
          <cell r="M128"/>
          <cell r="N128" t="str">
            <v>Recoupment Academy</v>
          </cell>
          <cell r="O128">
            <v>0</v>
          </cell>
          <cell r="P128" t="b">
            <v>1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257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 t="e">
            <v>#N/A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K128">
            <v>0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P128">
            <v>332640</v>
          </cell>
        </row>
        <row r="129">
          <cell r="C129">
            <v>2351</v>
          </cell>
          <cell r="D129" t="str">
            <v>Walkley Primary School</v>
          </cell>
          <cell r="E129">
            <v>85</v>
          </cell>
          <cell r="F129">
            <v>0</v>
          </cell>
          <cell r="G129">
            <v>0</v>
          </cell>
          <cell r="H129">
            <v>0</v>
          </cell>
          <cell r="I129">
            <v>112200</v>
          </cell>
          <cell r="J129">
            <v>0</v>
          </cell>
          <cell r="K129">
            <v>0</v>
          </cell>
          <cell r="L129">
            <v>112200</v>
          </cell>
          <cell r="M129"/>
          <cell r="N129">
            <v>0</v>
          </cell>
          <cell r="O129">
            <v>0</v>
          </cell>
          <cell r="P129" t="b">
            <v>0</v>
          </cell>
          <cell r="Q129">
            <v>0</v>
          </cell>
          <cell r="R129">
            <v>12</v>
          </cell>
          <cell r="S129">
            <v>1320</v>
          </cell>
          <cell r="U129">
            <v>112200</v>
          </cell>
          <cell r="V129">
            <v>85</v>
          </cell>
          <cell r="W129">
            <v>0</v>
          </cell>
          <cell r="X129">
            <v>0</v>
          </cell>
          <cell r="Y129">
            <v>0</v>
          </cell>
          <cell r="Z129">
            <v>112200</v>
          </cell>
          <cell r="AA129">
            <v>0</v>
          </cell>
          <cell r="AB129">
            <v>0</v>
          </cell>
          <cell r="AC129">
            <v>28380</v>
          </cell>
          <cell r="AD129">
            <v>27940</v>
          </cell>
          <cell r="AE129">
            <v>27940</v>
          </cell>
          <cell r="AF129">
            <v>27940</v>
          </cell>
          <cell r="AG129">
            <v>0</v>
          </cell>
          <cell r="AK129">
            <v>113520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>
            <v>0</v>
          </cell>
          <cell r="BG129">
            <v>0</v>
          </cell>
          <cell r="BH129">
            <v>-112200</v>
          </cell>
          <cell r="BI129">
            <v>0</v>
          </cell>
          <cell r="BJ129">
            <v>-84260</v>
          </cell>
          <cell r="BK129">
            <v>0</v>
          </cell>
          <cell r="BP129">
            <v>113520</v>
          </cell>
        </row>
        <row r="130">
          <cell r="C130">
            <v>3432</v>
          </cell>
          <cell r="D130" t="str">
            <v>Watercliffe Meadow School</v>
          </cell>
          <cell r="E130">
            <v>216</v>
          </cell>
          <cell r="F130">
            <v>0</v>
          </cell>
          <cell r="G130">
            <v>0</v>
          </cell>
          <cell r="H130">
            <v>0</v>
          </cell>
          <cell r="I130">
            <v>285120</v>
          </cell>
          <cell r="J130">
            <v>0</v>
          </cell>
          <cell r="K130">
            <v>0</v>
          </cell>
          <cell r="L130">
            <v>285120</v>
          </cell>
          <cell r="M130"/>
          <cell r="N130">
            <v>0</v>
          </cell>
          <cell r="O130">
            <v>0</v>
          </cell>
          <cell r="P130" t="b">
            <v>0</v>
          </cell>
          <cell r="Q130">
            <v>0</v>
          </cell>
          <cell r="R130">
            <v>12</v>
          </cell>
          <cell r="S130">
            <v>1320</v>
          </cell>
          <cell r="U130">
            <v>285120</v>
          </cell>
          <cell r="V130">
            <v>216</v>
          </cell>
          <cell r="W130">
            <v>0</v>
          </cell>
          <cell r="X130">
            <v>0</v>
          </cell>
          <cell r="Y130">
            <v>0</v>
          </cell>
          <cell r="Z130">
            <v>285120</v>
          </cell>
          <cell r="AA130">
            <v>0</v>
          </cell>
          <cell r="AB130">
            <v>0</v>
          </cell>
          <cell r="AC130">
            <v>75900</v>
          </cell>
          <cell r="AD130">
            <v>69740</v>
          </cell>
          <cell r="AE130">
            <v>69740</v>
          </cell>
          <cell r="AF130">
            <v>69740</v>
          </cell>
          <cell r="AG130">
            <v>0</v>
          </cell>
          <cell r="AK130">
            <v>303600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>
            <v>0</v>
          </cell>
          <cell r="BG130">
            <v>109560</v>
          </cell>
          <cell r="BH130">
            <v>-175560</v>
          </cell>
          <cell r="BI130">
            <v>0</v>
          </cell>
          <cell r="BJ130">
            <v>-215380</v>
          </cell>
          <cell r="BK130">
            <v>0</v>
          </cell>
          <cell r="BP130">
            <v>303600</v>
          </cell>
        </row>
        <row r="131">
          <cell r="C131">
            <v>2319</v>
          </cell>
          <cell r="D131" t="str">
            <v>WATERTHORPE NURSERY  INFANT SCHOOL</v>
          </cell>
          <cell r="E131">
            <v>39</v>
          </cell>
          <cell r="F131">
            <v>0</v>
          </cell>
          <cell r="G131">
            <v>0</v>
          </cell>
          <cell r="H131">
            <v>0</v>
          </cell>
          <cell r="I131">
            <v>51480</v>
          </cell>
          <cell r="J131">
            <v>0</v>
          </cell>
          <cell r="K131">
            <v>0</v>
          </cell>
          <cell r="L131">
            <v>51480</v>
          </cell>
          <cell r="M131"/>
          <cell r="N131">
            <v>0</v>
          </cell>
          <cell r="O131">
            <v>0</v>
          </cell>
          <cell r="P131" t="b">
            <v>0</v>
          </cell>
          <cell r="Q131">
            <v>0</v>
          </cell>
          <cell r="R131">
            <v>12</v>
          </cell>
          <cell r="S131">
            <v>1320</v>
          </cell>
          <cell r="U131">
            <v>51480</v>
          </cell>
          <cell r="V131">
            <v>39</v>
          </cell>
          <cell r="W131">
            <v>0</v>
          </cell>
          <cell r="X131">
            <v>0</v>
          </cell>
          <cell r="Y131">
            <v>0</v>
          </cell>
          <cell r="Z131">
            <v>51480</v>
          </cell>
          <cell r="AA131">
            <v>0</v>
          </cell>
          <cell r="AB131">
            <v>0</v>
          </cell>
          <cell r="AC131">
            <v>13860</v>
          </cell>
          <cell r="AD131">
            <v>12540</v>
          </cell>
          <cell r="AE131">
            <v>12540</v>
          </cell>
          <cell r="AF131">
            <v>12540</v>
          </cell>
          <cell r="AG131">
            <v>0</v>
          </cell>
          <cell r="AK131">
            <v>55440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>
            <v>0</v>
          </cell>
          <cell r="BG131">
            <v>283800</v>
          </cell>
          <cell r="BH131">
            <v>232320</v>
          </cell>
          <cell r="BI131">
            <v>0</v>
          </cell>
          <cell r="BJ131">
            <v>-38940</v>
          </cell>
          <cell r="BK131">
            <v>0</v>
          </cell>
          <cell r="BP131">
            <v>55440</v>
          </cell>
        </row>
        <row r="132">
          <cell r="C132">
            <v>2352</v>
          </cell>
          <cell r="D132" t="str">
            <v>Westways Primary School</v>
          </cell>
          <cell r="E132">
            <v>87</v>
          </cell>
          <cell r="F132">
            <v>0</v>
          </cell>
          <cell r="G132">
            <v>2</v>
          </cell>
          <cell r="H132">
            <v>6</v>
          </cell>
          <cell r="I132">
            <v>114840</v>
          </cell>
          <cell r="J132">
            <v>600</v>
          </cell>
          <cell r="K132">
            <v>13800</v>
          </cell>
          <cell r="L132">
            <v>129240</v>
          </cell>
          <cell r="M132"/>
          <cell r="N132">
            <v>0</v>
          </cell>
          <cell r="O132">
            <v>0</v>
          </cell>
          <cell r="P132" t="b">
            <v>0</v>
          </cell>
          <cell r="Q132">
            <v>0</v>
          </cell>
          <cell r="R132">
            <v>12</v>
          </cell>
          <cell r="S132">
            <v>1320</v>
          </cell>
          <cell r="U132">
            <v>129240</v>
          </cell>
          <cell r="V132">
            <v>87</v>
          </cell>
          <cell r="W132">
            <v>0</v>
          </cell>
          <cell r="X132">
            <v>2</v>
          </cell>
          <cell r="Y132">
            <v>6</v>
          </cell>
          <cell r="Z132">
            <v>129240</v>
          </cell>
          <cell r="AA132">
            <v>0</v>
          </cell>
          <cell r="AB132">
            <v>0</v>
          </cell>
          <cell r="AC132">
            <v>27060</v>
          </cell>
          <cell r="AD132">
            <v>34060</v>
          </cell>
          <cell r="AE132">
            <v>34060</v>
          </cell>
          <cell r="AF132">
            <v>34060</v>
          </cell>
          <cell r="AG132">
            <v>0</v>
          </cell>
          <cell r="AK132">
            <v>108240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>
            <v>0</v>
          </cell>
          <cell r="BG132">
            <v>59980</v>
          </cell>
          <cell r="BH132">
            <v>-69260</v>
          </cell>
          <cell r="BI132">
            <v>0</v>
          </cell>
          <cell r="BJ132">
            <v>-95180</v>
          </cell>
          <cell r="BK132">
            <v>0</v>
          </cell>
          <cell r="BP132">
            <v>108240</v>
          </cell>
        </row>
        <row r="133">
          <cell r="C133">
            <v>2311</v>
          </cell>
          <cell r="D133" t="str">
            <v>Wharncliffe Side Primary</v>
          </cell>
          <cell r="E133">
            <v>21</v>
          </cell>
          <cell r="F133">
            <v>0</v>
          </cell>
          <cell r="G133">
            <v>0</v>
          </cell>
          <cell r="H133">
            <v>1</v>
          </cell>
          <cell r="I133">
            <v>27720</v>
          </cell>
          <cell r="J133">
            <v>0</v>
          </cell>
          <cell r="K133">
            <v>2300</v>
          </cell>
          <cell r="L133">
            <v>30020</v>
          </cell>
          <cell r="M133"/>
          <cell r="N133">
            <v>0</v>
          </cell>
          <cell r="O133">
            <v>0</v>
          </cell>
          <cell r="P133" t="b">
            <v>0</v>
          </cell>
          <cell r="Q133">
            <v>0</v>
          </cell>
          <cell r="R133">
            <v>12</v>
          </cell>
          <cell r="S133">
            <v>1320</v>
          </cell>
          <cell r="U133">
            <v>30020</v>
          </cell>
          <cell r="V133">
            <v>20</v>
          </cell>
          <cell r="W133">
            <v>0</v>
          </cell>
          <cell r="X133">
            <v>0</v>
          </cell>
          <cell r="Y133">
            <v>1</v>
          </cell>
          <cell r="Z133">
            <v>28700</v>
          </cell>
          <cell r="AA133">
            <v>-1320</v>
          </cell>
          <cell r="AB133">
            <v>-1320</v>
          </cell>
          <cell r="AC133">
            <v>6600</v>
          </cell>
          <cell r="AD133">
            <v>7806.666666666667</v>
          </cell>
          <cell r="AE133">
            <v>3559</v>
          </cell>
          <cell r="AF133">
            <v>10734</v>
          </cell>
          <cell r="AG133">
            <v>-0.33333333333212067</v>
          </cell>
          <cell r="AK133">
            <v>26400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>
            <v>-1320</v>
          </cell>
          <cell r="BG133">
            <v>101020</v>
          </cell>
          <cell r="BH133">
            <v>71000</v>
          </cell>
          <cell r="BI133">
            <v>0</v>
          </cell>
          <cell r="BJ133">
            <v>-17965.666666666668</v>
          </cell>
          <cell r="BK133">
            <v>0</v>
          </cell>
          <cell r="BP133">
            <v>26400</v>
          </cell>
        </row>
        <row r="134">
          <cell r="C134">
            <v>2040</v>
          </cell>
          <cell r="D134" t="str">
            <v>Whiteways Primary School</v>
          </cell>
          <cell r="E134">
            <v>213</v>
          </cell>
          <cell r="F134">
            <v>0</v>
          </cell>
          <cell r="G134">
            <v>0</v>
          </cell>
          <cell r="H134">
            <v>0</v>
          </cell>
          <cell r="I134">
            <v>281160</v>
          </cell>
          <cell r="J134">
            <v>0</v>
          </cell>
          <cell r="K134">
            <v>0</v>
          </cell>
          <cell r="L134">
            <v>281160</v>
          </cell>
          <cell r="M134"/>
          <cell r="N134">
            <v>0</v>
          </cell>
          <cell r="O134">
            <v>0</v>
          </cell>
          <cell r="P134" t="b">
            <v>0</v>
          </cell>
          <cell r="Q134">
            <v>0</v>
          </cell>
          <cell r="R134">
            <v>12</v>
          </cell>
          <cell r="S134">
            <v>1320</v>
          </cell>
          <cell r="U134">
            <v>281160</v>
          </cell>
          <cell r="V134">
            <v>213</v>
          </cell>
          <cell r="W134">
            <v>0</v>
          </cell>
          <cell r="X134">
            <v>0</v>
          </cell>
          <cell r="Y134">
            <v>0</v>
          </cell>
          <cell r="Z134">
            <v>281160</v>
          </cell>
          <cell r="AA134">
            <v>0</v>
          </cell>
          <cell r="AB134">
            <v>0</v>
          </cell>
          <cell r="AC134">
            <v>64185</v>
          </cell>
          <cell r="AD134">
            <v>72325</v>
          </cell>
          <cell r="AE134">
            <v>72325</v>
          </cell>
          <cell r="AF134">
            <v>72325</v>
          </cell>
          <cell r="AG134">
            <v>0</v>
          </cell>
          <cell r="AK134">
            <v>256740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>
            <v>0</v>
          </cell>
          <cell r="BG134">
            <v>34900</v>
          </cell>
          <cell r="BH134">
            <v>-246260</v>
          </cell>
          <cell r="BI134">
            <v>0</v>
          </cell>
          <cell r="BJ134">
            <v>-208835</v>
          </cell>
          <cell r="BK134">
            <v>0</v>
          </cell>
          <cell r="BP134">
            <v>256740</v>
          </cell>
        </row>
        <row r="135">
          <cell r="C135">
            <v>2027</v>
          </cell>
          <cell r="D135" t="str">
            <v>Wincobank Nursery and Infant School</v>
          </cell>
          <cell r="E135">
            <v>72</v>
          </cell>
          <cell r="F135">
            <v>0</v>
          </cell>
          <cell r="G135">
            <v>0</v>
          </cell>
          <cell r="H135">
            <v>0</v>
          </cell>
          <cell r="I135">
            <v>95040</v>
          </cell>
          <cell r="J135">
            <v>0</v>
          </cell>
          <cell r="K135">
            <v>0</v>
          </cell>
          <cell r="L135">
            <v>95040</v>
          </cell>
          <cell r="M135"/>
          <cell r="N135" t="str">
            <v>Recoupment Academy</v>
          </cell>
          <cell r="O135">
            <v>0</v>
          </cell>
          <cell r="P135" t="b">
            <v>1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72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 t="e">
            <v>#N/A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K135">
            <v>0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>
            <v>0</v>
          </cell>
          <cell r="BG135">
            <v>257400</v>
          </cell>
          <cell r="BH135">
            <v>257400</v>
          </cell>
          <cell r="BI135">
            <v>0</v>
          </cell>
          <cell r="BJ135">
            <v>0</v>
          </cell>
          <cell r="BK135">
            <v>0</v>
          </cell>
          <cell r="BP135">
            <v>80520</v>
          </cell>
        </row>
        <row r="136">
          <cell r="C136">
            <v>2361</v>
          </cell>
          <cell r="D136" t="str">
            <v>Windmill Hill Primary School</v>
          </cell>
          <cell r="E136">
            <v>63</v>
          </cell>
          <cell r="F136">
            <v>0</v>
          </cell>
          <cell r="G136">
            <v>2</v>
          </cell>
          <cell r="H136">
            <v>0</v>
          </cell>
          <cell r="I136">
            <v>83160</v>
          </cell>
          <cell r="J136">
            <v>600</v>
          </cell>
          <cell r="K136">
            <v>0</v>
          </cell>
          <cell r="L136">
            <v>83760</v>
          </cell>
          <cell r="M136"/>
          <cell r="N136" t="str">
            <v>Recoupment Academy</v>
          </cell>
          <cell r="O136">
            <v>0</v>
          </cell>
          <cell r="P136" t="b">
            <v>1</v>
          </cell>
          <cell r="Q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63</v>
          </cell>
          <cell r="W136">
            <v>0</v>
          </cell>
          <cell r="X136">
            <v>2</v>
          </cell>
          <cell r="Y136">
            <v>0</v>
          </cell>
          <cell r="Z136">
            <v>0</v>
          </cell>
          <cell r="AA136">
            <v>0</v>
          </cell>
          <cell r="AB136" t="e">
            <v>#N/A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K136">
            <v>0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P136">
            <v>88440</v>
          </cell>
        </row>
        <row r="137">
          <cell r="C137">
            <v>2043</v>
          </cell>
          <cell r="D137" t="str">
            <v>Wisewood Primary School</v>
          </cell>
          <cell r="E137">
            <v>73</v>
          </cell>
          <cell r="F137">
            <v>0</v>
          </cell>
          <cell r="G137">
            <v>1</v>
          </cell>
          <cell r="H137">
            <v>0</v>
          </cell>
          <cell r="I137">
            <v>96360</v>
          </cell>
          <cell r="J137">
            <v>300</v>
          </cell>
          <cell r="K137">
            <v>0</v>
          </cell>
          <cell r="L137">
            <v>96660</v>
          </cell>
          <cell r="M137"/>
          <cell r="N137" t="str">
            <v>Recoupment Academy</v>
          </cell>
          <cell r="O137">
            <v>0</v>
          </cell>
          <cell r="P137" t="b">
            <v>1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72</v>
          </cell>
          <cell r="W137">
            <v>0</v>
          </cell>
          <cell r="X137">
            <v>1</v>
          </cell>
          <cell r="Y137">
            <v>0</v>
          </cell>
          <cell r="Z137">
            <v>0</v>
          </cell>
          <cell r="AA137">
            <v>0</v>
          </cell>
          <cell r="AB137" t="e">
            <v>#N/A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K137">
            <v>0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>
            <v>0</v>
          </cell>
          <cell r="BG137">
            <v>81420</v>
          </cell>
          <cell r="BH137">
            <v>81420</v>
          </cell>
          <cell r="BI137">
            <v>0</v>
          </cell>
          <cell r="BJ137">
            <v>0</v>
          </cell>
          <cell r="BK137">
            <v>0</v>
          </cell>
          <cell r="BP137">
            <v>97680</v>
          </cell>
        </row>
        <row r="138">
          <cell r="C138">
            <v>2139</v>
          </cell>
          <cell r="D138" t="str">
            <v>Woodhouse West Primary School</v>
          </cell>
          <cell r="E138">
            <v>157</v>
          </cell>
          <cell r="F138">
            <v>0</v>
          </cell>
          <cell r="G138">
            <v>0</v>
          </cell>
          <cell r="H138">
            <v>0</v>
          </cell>
          <cell r="I138">
            <v>207240</v>
          </cell>
          <cell r="J138">
            <v>0</v>
          </cell>
          <cell r="K138">
            <v>0</v>
          </cell>
          <cell r="L138">
            <v>207240</v>
          </cell>
          <cell r="M138"/>
          <cell r="N138">
            <v>0</v>
          </cell>
          <cell r="O138">
            <v>0</v>
          </cell>
          <cell r="P138" t="b">
            <v>0</v>
          </cell>
          <cell r="Q138">
            <v>0</v>
          </cell>
          <cell r="R138">
            <v>12</v>
          </cell>
          <cell r="S138">
            <v>1320</v>
          </cell>
          <cell r="U138">
            <v>207240</v>
          </cell>
          <cell r="V138">
            <v>157</v>
          </cell>
          <cell r="W138">
            <v>0</v>
          </cell>
          <cell r="X138">
            <v>0</v>
          </cell>
          <cell r="Y138">
            <v>0</v>
          </cell>
          <cell r="Z138">
            <v>207240</v>
          </cell>
          <cell r="AA138">
            <v>0</v>
          </cell>
          <cell r="AB138">
            <v>0</v>
          </cell>
          <cell r="AC138">
            <v>52800</v>
          </cell>
          <cell r="AD138">
            <v>51480</v>
          </cell>
          <cell r="AE138">
            <v>51480</v>
          </cell>
          <cell r="AF138">
            <v>51480</v>
          </cell>
          <cell r="AG138">
            <v>0</v>
          </cell>
          <cell r="AK138">
            <v>211200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>
            <v>0</v>
          </cell>
          <cell r="BG138">
            <v>0</v>
          </cell>
          <cell r="BH138">
            <v>-207240</v>
          </cell>
          <cell r="BI138">
            <v>0</v>
          </cell>
          <cell r="BJ138">
            <v>-155760</v>
          </cell>
          <cell r="BK138">
            <v>0</v>
          </cell>
          <cell r="BN138">
            <v>0</v>
          </cell>
          <cell r="BP138">
            <v>211200</v>
          </cell>
        </row>
        <row r="139">
          <cell r="C139">
            <v>2324</v>
          </cell>
          <cell r="D139" t="str">
            <v>Woodseats Primary School</v>
          </cell>
          <cell r="E139">
            <v>106</v>
          </cell>
          <cell r="F139">
            <v>0</v>
          </cell>
          <cell r="G139">
            <v>1</v>
          </cell>
          <cell r="H139">
            <v>3</v>
          </cell>
          <cell r="I139">
            <v>139920</v>
          </cell>
          <cell r="J139">
            <v>300</v>
          </cell>
          <cell r="K139">
            <v>6900</v>
          </cell>
          <cell r="L139">
            <v>147120</v>
          </cell>
          <cell r="M139"/>
          <cell r="N139">
            <v>0</v>
          </cell>
          <cell r="O139">
            <v>0</v>
          </cell>
          <cell r="P139" t="b">
            <v>0</v>
          </cell>
          <cell r="Q139">
            <v>0</v>
          </cell>
          <cell r="R139">
            <v>12</v>
          </cell>
          <cell r="S139">
            <v>1320</v>
          </cell>
          <cell r="T139"/>
          <cell r="U139">
            <v>147120</v>
          </cell>
          <cell r="V139">
            <v>105</v>
          </cell>
          <cell r="W139">
            <v>0</v>
          </cell>
          <cell r="X139">
            <v>1</v>
          </cell>
          <cell r="Y139">
            <v>3</v>
          </cell>
          <cell r="Z139">
            <v>145800</v>
          </cell>
          <cell r="AA139">
            <v>-1320</v>
          </cell>
          <cell r="AB139">
            <v>-1320</v>
          </cell>
          <cell r="AC139">
            <v>30690</v>
          </cell>
          <cell r="AD139">
            <v>38810</v>
          </cell>
          <cell r="AE139">
            <v>38150</v>
          </cell>
          <cell r="AF139">
            <v>38150</v>
          </cell>
          <cell r="AG139">
            <v>0</v>
          </cell>
          <cell r="AK139">
            <v>122760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>
            <v>-1320</v>
          </cell>
          <cell r="BG139">
            <v>219120</v>
          </cell>
          <cell r="BH139">
            <v>72000</v>
          </cell>
          <cell r="BI139">
            <v>0</v>
          </cell>
          <cell r="BJ139">
            <v>-107650</v>
          </cell>
          <cell r="BK139">
            <v>0</v>
          </cell>
          <cell r="BP139">
            <v>122760</v>
          </cell>
        </row>
        <row r="140">
          <cell r="C140">
            <v>2327</v>
          </cell>
          <cell r="D140" t="str">
            <v>Woodthorpe Community Primary</v>
          </cell>
          <cell r="E140">
            <v>240</v>
          </cell>
          <cell r="F140">
            <v>0</v>
          </cell>
          <cell r="G140">
            <v>0</v>
          </cell>
          <cell r="H140">
            <v>0</v>
          </cell>
          <cell r="I140">
            <v>316800</v>
          </cell>
          <cell r="J140">
            <v>0</v>
          </cell>
          <cell r="K140">
            <v>0</v>
          </cell>
          <cell r="L140">
            <v>316800</v>
          </cell>
          <cell r="M140"/>
          <cell r="N140">
            <v>0</v>
          </cell>
          <cell r="O140">
            <v>0</v>
          </cell>
          <cell r="P140" t="b">
            <v>0</v>
          </cell>
          <cell r="Q140">
            <v>0</v>
          </cell>
          <cell r="R140">
            <v>12</v>
          </cell>
          <cell r="S140">
            <v>1320</v>
          </cell>
          <cell r="T140"/>
          <cell r="U140">
            <v>316800</v>
          </cell>
          <cell r="V140">
            <v>240</v>
          </cell>
          <cell r="W140">
            <v>0</v>
          </cell>
          <cell r="X140">
            <v>0</v>
          </cell>
          <cell r="Y140">
            <v>0</v>
          </cell>
          <cell r="Z140">
            <v>316800</v>
          </cell>
          <cell r="AA140">
            <v>0</v>
          </cell>
          <cell r="AB140">
            <v>0</v>
          </cell>
          <cell r="AC140">
            <v>76230</v>
          </cell>
          <cell r="AD140">
            <v>80190</v>
          </cell>
          <cell r="AE140">
            <v>80190</v>
          </cell>
          <cell r="AF140">
            <v>80190</v>
          </cell>
          <cell r="AG140">
            <v>0</v>
          </cell>
          <cell r="AK140">
            <v>304920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>
            <v>0</v>
          </cell>
          <cell r="BG140">
            <v>128340</v>
          </cell>
          <cell r="BH140">
            <v>-188460</v>
          </cell>
          <cell r="BI140">
            <v>0</v>
          </cell>
          <cell r="BJ140">
            <v>-236610</v>
          </cell>
          <cell r="BK140">
            <v>0</v>
          </cell>
          <cell r="BP140">
            <v>304920</v>
          </cell>
        </row>
        <row r="141">
          <cell r="C141">
            <v>2321</v>
          </cell>
          <cell r="D141" t="str">
            <v>Wybourn Community Primary  School</v>
          </cell>
          <cell r="E141">
            <v>221</v>
          </cell>
          <cell r="F141">
            <v>0</v>
          </cell>
          <cell r="G141">
            <v>0</v>
          </cell>
          <cell r="H141">
            <v>3</v>
          </cell>
          <cell r="I141">
            <v>291720</v>
          </cell>
          <cell r="J141">
            <v>0</v>
          </cell>
          <cell r="K141">
            <v>6900</v>
          </cell>
          <cell r="L141">
            <v>298620</v>
          </cell>
          <cell r="M141"/>
          <cell r="N141" t="str">
            <v>Recoupment Academy</v>
          </cell>
          <cell r="O141">
            <v>0</v>
          </cell>
          <cell r="P141" t="b">
            <v>1</v>
          </cell>
          <cell r="Q141">
            <v>0</v>
          </cell>
          <cell r="R141">
            <v>0</v>
          </cell>
          <cell r="S141">
            <v>0</v>
          </cell>
          <cell r="T141"/>
          <cell r="U141">
            <v>0</v>
          </cell>
          <cell r="V141">
            <v>219</v>
          </cell>
          <cell r="W141">
            <v>0</v>
          </cell>
          <cell r="X141">
            <v>0</v>
          </cell>
          <cell r="Y141">
            <v>3</v>
          </cell>
          <cell r="Z141">
            <v>0</v>
          </cell>
          <cell r="AA141">
            <v>0</v>
          </cell>
          <cell r="AB141" t="e">
            <v>#N/A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K141">
            <v>0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>
            <v>0</v>
          </cell>
          <cell r="BG141">
            <v>291720</v>
          </cell>
          <cell r="BH141">
            <v>291720</v>
          </cell>
          <cell r="BI141">
            <v>0</v>
          </cell>
          <cell r="BJ141">
            <v>0</v>
          </cell>
          <cell r="BK141">
            <v>0</v>
          </cell>
          <cell r="BP141">
            <v>275220</v>
          </cell>
        </row>
        <row r="142"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>
            <v>0</v>
          </cell>
          <cell r="V142"/>
          <cell r="W142"/>
          <cell r="X142"/>
          <cell r="Y142"/>
          <cell r="Z142"/>
          <cell r="AA142"/>
          <cell r="AB142"/>
          <cell r="AC142"/>
          <cell r="AD142"/>
          <cell r="AE142">
            <v>0</v>
          </cell>
          <cell r="AF142">
            <v>0</v>
          </cell>
          <cell r="AG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P142">
            <v>0</v>
          </cell>
        </row>
        <row r="143"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>
            <v>0</v>
          </cell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0</v>
          </cell>
          <cell r="AF143">
            <v>0</v>
          </cell>
          <cell r="AG143">
            <v>0</v>
          </cell>
          <cell r="AK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P143">
            <v>0</v>
          </cell>
        </row>
        <row r="144">
          <cell r="C144"/>
          <cell r="D144" t="str">
            <v>Total Primary</v>
          </cell>
          <cell r="E144">
            <v>13201.5</v>
          </cell>
          <cell r="F144">
            <v>0</v>
          </cell>
          <cell r="G144">
            <v>70</v>
          </cell>
          <cell r="H144">
            <v>316</v>
          </cell>
          <cell r="I144">
            <v>17425980</v>
          </cell>
          <cell r="J144">
            <v>21000</v>
          </cell>
          <cell r="K144">
            <v>726800</v>
          </cell>
          <cell r="L144">
            <v>18173780</v>
          </cell>
          <cell r="M144">
            <v>0</v>
          </cell>
          <cell r="N144"/>
          <cell r="O144">
            <v>0</v>
          </cell>
          <cell r="P144">
            <v>0</v>
          </cell>
          <cell r="Q144">
            <v>0</v>
          </cell>
          <cell r="R144">
            <v>936</v>
          </cell>
          <cell r="S144">
            <v>102960</v>
          </cell>
          <cell r="T144">
            <v>0</v>
          </cell>
          <cell r="U144">
            <v>8591300</v>
          </cell>
          <cell r="V144">
            <v>13133.5</v>
          </cell>
          <cell r="W144">
            <v>0</v>
          </cell>
          <cell r="X144">
            <v>70</v>
          </cell>
          <cell r="Y144">
            <v>316</v>
          </cell>
          <cell r="Z144">
            <v>8546420</v>
          </cell>
          <cell r="AA144">
            <v>-44880</v>
          </cell>
          <cell r="AB144"/>
          <cell r="AC144">
            <v>2026035</v>
          </cell>
          <cell r="AD144">
            <v>2188421.6666666665</v>
          </cell>
          <cell r="AE144">
            <v>2154859.6666666665</v>
          </cell>
          <cell r="AF144">
            <v>2177103.6666666665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8104140</v>
          </cell>
          <cell r="AL144">
            <v>0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>
            <v>0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>
            <v>-44880</v>
          </cell>
          <cell r="BE144">
            <v>0</v>
          </cell>
          <cell r="BF144">
            <v>0</v>
          </cell>
          <cell r="BG144">
            <v>10094550</v>
          </cell>
          <cell r="BH144">
            <v>1503250</v>
          </cell>
          <cell r="BI144">
            <v>164840</v>
          </cell>
          <cell r="BJ144">
            <v>-6155939.666666667</v>
          </cell>
          <cell r="BK144">
            <v>0</v>
          </cell>
          <cell r="BL144">
            <v>7976271</v>
          </cell>
          <cell r="BM144" t="e">
            <v>#N/A</v>
          </cell>
          <cell r="BN144">
            <v>9541223.879999999</v>
          </cell>
          <cell r="BO144">
            <v>0</v>
          </cell>
          <cell r="BP144">
            <v>17190360</v>
          </cell>
        </row>
        <row r="145"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>
            <v>0</v>
          </cell>
          <cell r="V145"/>
          <cell r="W145"/>
          <cell r="X145"/>
          <cell r="Y145"/>
          <cell r="Z145"/>
          <cell r="AA145"/>
          <cell r="AB145"/>
          <cell r="AC145"/>
          <cell r="AD145"/>
          <cell r="AE145">
            <v>0</v>
          </cell>
          <cell r="AF145">
            <v>0</v>
          </cell>
          <cell r="AG145">
            <v>0</v>
          </cell>
          <cell r="AK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N145">
            <v>0</v>
          </cell>
          <cell r="BP145">
            <v>0</v>
          </cell>
        </row>
        <row r="146">
          <cell r="D146" t="str">
            <v>Secondary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O146"/>
          <cell r="P146"/>
          <cell r="U146">
            <v>0</v>
          </cell>
          <cell r="V146"/>
          <cell r="W146"/>
          <cell r="X146"/>
          <cell r="Y146"/>
          <cell r="Z146"/>
          <cell r="AA146"/>
          <cell r="AB146"/>
          <cell r="AC146"/>
          <cell r="AD146"/>
          <cell r="AE146">
            <v>0</v>
          </cell>
          <cell r="AF146">
            <v>0</v>
          </cell>
          <cell r="AG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I146">
            <v>0</v>
          </cell>
          <cell r="BJ146">
            <v>0</v>
          </cell>
          <cell r="BK146">
            <v>0</v>
          </cell>
          <cell r="BP146">
            <v>0</v>
          </cell>
        </row>
        <row r="147">
          <cell r="E147"/>
          <cell r="F147"/>
          <cell r="G147"/>
          <cell r="H147"/>
          <cell r="I147"/>
          <cell r="J147"/>
          <cell r="K147"/>
          <cell r="L147"/>
          <cell r="M147"/>
          <cell r="O147"/>
          <cell r="P147"/>
          <cell r="U147">
            <v>0</v>
          </cell>
          <cell r="V147"/>
          <cell r="W147"/>
          <cell r="X147"/>
          <cell r="Y147"/>
          <cell r="Z147"/>
          <cell r="AA147"/>
          <cell r="AB147"/>
          <cell r="AC147"/>
          <cell r="AD147"/>
          <cell r="AE147">
            <v>0</v>
          </cell>
          <cell r="AF147">
            <v>0</v>
          </cell>
          <cell r="AG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I147">
            <v>0</v>
          </cell>
          <cell r="BJ147">
            <v>0</v>
          </cell>
          <cell r="BK147">
            <v>0</v>
          </cell>
          <cell r="BP147">
            <v>0</v>
          </cell>
        </row>
        <row r="148">
          <cell r="C148">
            <v>5401</v>
          </cell>
          <cell r="D148" t="str">
            <v>All Saints Catholic High School</v>
          </cell>
          <cell r="E148">
            <v>0</v>
          </cell>
          <cell r="F148">
            <v>262.50000000000006</v>
          </cell>
          <cell r="G148">
            <v>8</v>
          </cell>
          <cell r="H148">
            <v>26</v>
          </cell>
          <cell r="I148">
            <v>245437.50000000006</v>
          </cell>
          <cell r="J148">
            <v>2400</v>
          </cell>
          <cell r="K148">
            <v>59800</v>
          </cell>
          <cell r="L148">
            <v>307637.50000000006</v>
          </cell>
          <cell r="M148"/>
          <cell r="N148" t="str">
            <v>Recoupment Academy</v>
          </cell>
          <cell r="O148">
            <v>0</v>
          </cell>
          <cell r="P148" t="b">
            <v>1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262.50000000000006</v>
          </cell>
          <cell r="X148">
            <v>8</v>
          </cell>
          <cell r="Y148">
            <v>26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K148">
            <v>0</v>
          </cell>
          <cell r="AM148" t="e">
            <v>#REF!</v>
          </cell>
          <cell r="AN148" t="e">
            <v>#REF!</v>
          </cell>
          <cell r="AO148" t="e">
            <v>#REF!</v>
          </cell>
          <cell r="AP148" t="e">
            <v>#REF!</v>
          </cell>
          <cell r="AQ148" t="e">
            <v>#REF!</v>
          </cell>
          <cell r="AR148" t="e">
            <v>#REF!</v>
          </cell>
          <cell r="AS148" t="e">
            <v>#REF!</v>
          </cell>
          <cell r="AT148" t="e">
            <v>#REF!</v>
          </cell>
          <cell r="AV148" t="e">
            <v>#REF!</v>
          </cell>
          <cell r="AW148" t="e">
            <v>#REF!</v>
          </cell>
          <cell r="AX148" t="e">
            <v>#REF!</v>
          </cell>
          <cell r="AY148" t="e">
            <v>#REF!</v>
          </cell>
          <cell r="AZ148">
            <v>0</v>
          </cell>
          <cell r="BA148" t="e">
            <v>#REF!</v>
          </cell>
          <cell r="BB148" t="e">
            <v>#REF!</v>
          </cell>
          <cell r="BC148" t="e">
            <v>#REF!</v>
          </cell>
          <cell r="BD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P148">
            <v>261800</v>
          </cell>
        </row>
        <row r="149">
          <cell r="C149">
            <v>4276</v>
          </cell>
          <cell r="D149" t="str">
            <v>Birley Community College</v>
          </cell>
          <cell r="E149">
            <v>0</v>
          </cell>
          <cell r="F149">
            <v>325.00000000000006</v>
          </cell>
          <cell r="G149">
            <v>4</v>
          </cell>
          <cell r="H149">
            <v>2</v>
          </cell>
          <cell r="I149">
            <v>303875.00000000006</v>
          </cell>
          <cell r="J149">
            <v>1200</v>
          </cell>
          <cell r="K149">
            <v>4600</v>
          </cell>
          <cell r="L149">
            <v>309675.00000000006</v>
          </cell>
          <cell r="M149"/>
          <cell r="N149" t="str">
            <v>Recoupment Academy</v>
          </cell>
          <cell r="O149">
            <v>0</v>
          </cell>
          <cell r="P149" t="b">
            <v>1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325.00000000000006</v>
          </cell>
          <cell r="X149">
            <v>4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K149">
            <v>0</v>
          </cell>
          <cell r="AM149" t="e">
            <v>#REF!</v>
          </cell>
          <cell r="AN149" t="e">
            <v>#REF!</v>
          </cell>
          <cell r="AO149" t="e">
            <v>#REF!</v>
          </cell>
          <cell r="AP149" t="e">
            <v>#REF!</v>
          </cell>
          <cell r="AQ149" t="e">
            <v>#REF!</v>
          </cell>
          <cell r="AR149" t="e">
            <v>#REF!</v>
          </cell>
          <cell r="AS149" t="e">
            <v>#REF!</v>
          </cell>
          <cell r="AT149" t="e">
            <v>#REF!</v>
          </cell>
          <cell r="AV149" t="e">
            <v>#REF!</v>
          </cell>
          <cell r="AW149" t="e">
            <v>#REF!</v>
          </cell>
          <cell r="AX149" t="e">
            <v>#REF!</v>
          </cell>
          <cell r="AY149" t="e">
            <v>#REF!</v>
          </cell>
          <cell r="AZ149">
            <v>0</v>
          </cell>
          <cell r="BA149" t="e">
            <v>#REF!</v>
          </cell>
          <cell r="BB149" t="e">
            <v>#REF!</v>
          </cell>
          <cell r="BC149" t="e">
            <v>#REF!</v>
          </cell>
          <cell r="BD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P149">
            <v>299200</v>
          </cell>
        </row>
        <row r="150">
          <cell r="C150">
            <v>4272</v>
          </cell>
          <cell r="D150" t="str">
            <v>Bradfield School</v>
          </cell>
          <cell r="E150">
            <v>0</v>
          </cell>
          <cell r="F150">
            <v>117</v>
          </cell>
          <cell r="G150">
            <v>2</v>
          </cell>
          <cell r="H150">
            <v>1</v>
          </cell>
          <cell r="I150">
            <v>109395</v>
          </cell>
          <cell r="J150">
            <v>600</v>
          </cell>
          <cell r="K150">
            <v>2300</v>
          </cell>
          <cell r="L150">
            <v>112295</v>
          </cell>
          <cell r="M150"/>
          <cell r="N150" t="str">
            <v>Recoupment Academy</v>
          </cell>
          <cell r="O150">
            <v>0</v>
          </cell>
          <cell r="P150" t="b">
            <v>1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116</v>
          </cell>
          <cell r="X150">
            <v>2</v>
          </cell>
          <cell r="Y150">
            <v>1</v>
          </cell>
          <cell r="Z150">
            <v>0</v>
          </cell>
          <cell r="AA150">
            <v>0</v>
          </cell>
          <cell r="AB150" t="e">
            <v>#N/A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K150">
            <v>0</v>
          </cell>
          <cell r="AM150" t="e">
            <v>#REF!</v>
          </cell>
          <cell r="AN150" t="e">
            <v>#REF!</v>
          </cell>
          <cell r="AO150" t="e">
            <v>#REF!</v>
          </cell>
          <cell r="AP150" t="e">
            <v>#REF!</v>
          </cell>
          <cell r="AQ150" t="e">
            <v>#REF!</v>
          </cell>
          <cell r="AR150" t="e">
            <v>#REF!</v>
          </cell>
          <cell r="AS150" t="e">
            <v>#REF!</v>
          </cell>
          <cell r="AT150" t="e">
            <v>#REF!</v>
          </cell>
          <cell r="AV150" t="e">
            <v>#REF!</v>
          </cell>
          <cell r="AW150" t="e">
            <v>#REF!</v>
          </cell>
          <cell r="AX150" t="e">
            <v>#REF!</v>
          </cell>
          <cell r="AY150" t="e">
            <v>#REF!</v>
          </cell>
          <cell r="AZ150">
            <v>0</v>
          </cell>
          <cell r="BA150" t="e">
            <v>#REF!</v>
          </cell>
          <cell r="BB150" t="e">
            <v>#REF!</v>
          </cell>
          <cell r="BC150" t="e">
            <v>#REF!</v>
          </cell>
          <cell r="BD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P150">
            <v>104720</v>
          </cell>
        </row>
        <row r="151">
          <cell r="C151">
            <v>4000</v>
          </cell>
          <cell r="D151" t="str">
            <v>Chaucer School</v>
          </cell>
          <cell r="E151">
            <v>0</v>
          </cell>
          <cell r="F151">
            <v>467.49999999999972</v>
          </cell>
          <cell r="G151">
            <v>0</v>
          </cell>
          <cell r="H151">
            <v>0</v>
          </cell>
          <cell r="I151">
            <v>437112.49999999971</v>
          </cell>
          <cell r="J151">
            <v>0</v>
          </cell>
          <cell r="K151">
            <v>0</v>
          </cell>
          <cell r="L151">
            <v>437112.49999999971</v>
          </cell>
          <cell r="M151"/>
          <cell r="N151" t="str">
            <v>Recoupment Academy</v>
          </cell>
          <cell r="O151">
            <v>0</v>
          </cell>
          <cell r="P151" t="b">
            <v>1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466.49999999999972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 t="e">
            <v>#N/A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K151">
            <v>0</v>
          </cell>
          <cell r="AM151" t="e">
            <v>#REF!</v>
          </cell>
          <cell r="AN151" t="e">
            <v>#REF!</v>
          </cell>
          <cell r="AO151" t="e">
            <v>#REF!</v>
          </cell>
          <cell r="AP151" t="e">
            <v>#REF!</v>
          </cell>
          <cell r="AQ151" t="e">
            <v>#REF!</v>
          </cell>
          <cell r="AR151" t="e">
            <v>#REF!</v>
          </cell>
          <cell r="AS151" t="e">
            <v>#REF!</v>
          </cell>
          <cell r="AT151" t="e">
            <v>#REF!</v>
          </cell>
          <cell r="AV151" t="e">
            <v>#REF!</v>
          </cell>
          <cell r="AW151" t="e">
            <v>#REF!</v>
          </cell>
          <cell r="AX151" t="e">
            <v>#REF!</v>
          </cell>
          <cell r="AY151" t="e">
            <v>#REF!</v>
          </cell>
          <cell r="AZ151">
            <v>0</v>
          </cell>
          <cell r="BA151" t="e">
            <v>#REF!</v>
          </cell>
          <cell r="BB151" t="e">
            <v>#REF!</v>
          </cell>
          <cell r="BC151" t="e">
            <v>#REF!</v>
          </cell>
          <cell r="BD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P151">
            <v>465162.49999999988</v>
          </cell>
        </row>
        <row r="152">
          <cell r="C152">
            <v>4012</v>
          </cell>
          <cell r="D152" t="str">
            <v>Ecclesfield School</v>
          </cell>
          <cell r="E152">
            <v>0</v>
          </cell>
          <cell r="F152">
            <v>453.49999999999972</v>
          </cell>
          <cell r="G152">
            <v>5</v>
          </cell>
          <cell r="H152">
            <v>4</v>
          </cell>
          <cell r="I152">
            <v>424022.49999999971</v>
          </cell>
          <cell r="J152">
            <v>1500</v>
          </cell>
          <cell r="K152">
            <v>9200</v>
          </cell>
          <cell r="L152">
            <v>434722.49999999971</v>
          </cell>
          <cell r="M152"/>
          <cell r="N152" t="str">
            <v>Recoupment Academy</v>
          </cell>
          <cell r="O152">
            <v>0</v>
          </cell>
          <cell r="P152" t="b">
            <v>1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452.49999999999972</v>
          </cell>
          <cell r="X152">
            <v>5</v>
          </cell>
          <cell r="Y152">
            <v>4</v>
          </cell>
          <cell r="Z152">
            <v>0</v>
          </cell>
          <cell r="AA152">
            <v>0</v>
          </cell>
          <cell r="AB152" t="e">
            <v>#N/A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K152">
            <v>0</v>
          </cell>
          <cell r="AM152" t="e">
            <v>#REF!</v>
          </cell>
          <cell r="AN152" t="e">
            <v>#REF!</v>
          </cell>
          <cell r="AO152" t="e">
            <v>#REF!</v>
          </cell>
          <cell r="AP152" t="e">
            <v>#REF!</v>
          </cell>
          <cell r="AQ152" t="e">
            <v>#REF!</v>
          </cell>
          <cell r="AR152" t="e">
            <v>#REF!</v>
          </cell>
          <cell r="AS152" t="e">
            <v>#REF!</v>
          </cell>
          <cell r="AT152" t="e">
            <v>#REF!</v>
          </cell>
          <cell r="AV152" t="e">
            <v>#REF!</v>
          </cell>
          <cell r="AW152" t="e">
            <v>#REF!</v>
          </cell>
          <cell r="AX152" t="e">
            <v>#REF!</v>
          </cell>
          <cell r="AY152" t="e">
            <v>#REF!</v>
          </cell>
          <cell r="AZ152">
            <v>0</v>
          </cell>
          <cell r="BA152" t="e">
            <v>#REF!</v>
          </cell>
          <cell r="BB152" t="e">
            <v>#REF!</v>
          </cell>
          <cell r="BC152" t="e">
            <v>#REF!</v>
          </cell>
          <cell r="BD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P152">
            <v>427295</v>
          </cell>
        </row>
        <row r="153">
          <cell r="C153">
            <v>4280</v>
          </cell>
          <cell r="D153" t="str">
            <v>Fir Vale School</v>
          </cell>
          <cell r="E153">
            <v>0</v>
          </cell>
          <cell r="F153">
            <v>578</v>
          </cell>
          <cell r="G153">
            <v>0</v>
          </cell>
          <cell r="H153">
            <v>0</v>
          </cell>
          <cell r="I153">
            <v>540430</v>
          </cell>
          <cell r="J153">
            <v>0</v>
          </cell>
          <cell r="K153">
            <v>0</v>
          </cell>
          <cell r="L153">
            <v>540430</v>
          </cell>
          <cell r="M153"/>
          <cell r="N153" t="str">
            <v>Recoupment Academy</v>
          </cell>
          <cell r="O153">
            <v>0</v>
          </cell>
          <cell r="P153" t="b">
            <v>1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 t="e">
            <v>#N/A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K153">
            <v>0</v>
          </cell>
          <cell r="AM153" t="e">
            <v>#REF!</v>
          </cell>
          <cell r="AN153" t="e">
            <v>#REF!</v>
          </cell>
          <cell r="AO153" t="e">
            <v>#REF!</v>
          </cell>
          <cell r="AP153" t="e">
            <v>#REF!</v>
          </cell>
          <cell r="AQ153" t="e">
            <v>#REF!</v>
          </cell>
          <cell r="AR153" t="e">
            <v>#REF!</v>
          </cell>
          <cell r="AS153" t="e">
            <v>#REF!</v>
          </cell>
          <cell r="AT153" t="e">
            <v>#REF!</v>
          </cell>
          <cell r="AV153" t="e">
            <v>#REF!</v>
          </cell>
          <cell r="AW153" t="e">
            <v>#REF!</v>
          </cell>
          <cell r="AX153" t="e">
            <v>#REF!</v>
          </cell>
          <cell r="AY153" t="e">
            <v>#REF!</v>
          </cell>
          <cell r="AZ153">
            <v>0</v>
          </cell>
          <cell r="BA153" t="e">
            <v>#REF!</v>
          </cell>
          <cell r="BB153" t="e">
            <v>#REF!</v>
          </cell>
          <cell r="BC153" t="e">
            <v>#REF!</v>
          </cell>
          <cell r="BD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P153">
            <v>493680</v>
          </cell>
        </row>
        <row r="154">
          <cell r="C154">
            <v>4003</v>
          </cell>
          <cell r="D154" t="str">
            <v>Firth Park Academy</v>
          </cell>
          <cell r="E154">
            <v>0</v>
          </cell>
          <cell r="F154">
            <v>681.99999999999966</v>
          </cell>
          <cell r="G154">
            <v>0</v>
          </cell>
          <cell r="H154">
            <v>7</v>
          </cell>
          <cell r="I154">
            <v>637669.99999999965</v>
          </cell>
          <cell r="J154">
            <v>0</v>
          </cell>
          <cell r="K154">
            <v>16100</v>
          </cell>
          <cell r="L154">
            <v>653769.99999999965</v>
          </cell>
          <cell r="M154"/>
          <cell r="N154" t="str">
            <v>Recoupment Academy</v>
          </cell>
          <cell r="O154">
            <v>0</v>
          </cell>
          <cell r="P154" t="b">
            <v>1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679.99999999999966</v>
          </cell>
          <cell r="X154">
            <v>0</v>
          </cell>
          <cell r="Y154">
            <v>7</v>
          </cell>
          <cell r="Z154">
            <v>0</v>
          </cell>
          <cell r="AA154">
            <v>0</v>
          </cell>
          <cell r="AB154" t="e">
            <v>#N/A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K154">
            <v>0</v>
          </cell>
          <cell r="AM154" t="e">
            <v>#REF!</v>
          </cell>
          <cell r="AN154" t="e">
            <v>#REF!</v>
          </cell>
          <cell r="AO154" t="e">
            <v>#REF!</v>
          </cell>
          <cell r="AP154" t="e">
            <v>#REF!</v>
          </cell>
          <cell r="AQ154" t="e">
            <v>#REF!</v>
          </cell>
          <cell r="AR154" t="e">
            <v>#REF!</v>
          </cell>
          <cell r="AS154" t="e">
            <v>#REF!</v>
          </cell>
          <cell r="AT154" t="e">
            <v>#REF!</v>
          </cell>
          <cell r="AV154" t="e">
            <v>#REF!</v>
          </cell>
          <cell r="AW154" t="e">
            <v>#REF!</v>
          </cell>
          <cell r="AX154" t="e">
            <v>#REF!</v>
          </cell>
          <cell r="AY154" t="e">
            <v>#REF!</v>
          </cell>
          <cell r="AZ154">
            <v>0</v>
          </cell>
          <cell r="BA154" t="e">
            <v>#REF!</v>
          </cell>
          <cell r="BB154" t="e">
            <v>#REF!</v>
          </cell>
          <cell r="BC154" t="e">
            <v>#REF!</v>
          </cell>
          <cell r="BD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P154">
            <v>568012.49999999988</v>
          </cell>
        </row>
        <row r="155">
          <cell r="C155">
            <v>4007</v>
          </cell>
          <cell r="D155" t="str">
            <v>Forge Valley School</v>
          </cell>
          <cell r="E155">
            <v>0</v>
          </cell>
          <cell r="F155">
            <v>272</v>
          </cell>
          <cell r="G155">
            <v>2</v>
          </cell>
          <cell r="H155">
            <v>0</v>
          </cell>
          <cell r="I155">
            <v>254320</v>
          </cell>
          <cell r="J155">
            <v>600</v>
          </cell>
          <cell r="K155">
            <v>0</v>
          </cell>
          <cell r="L155">
            <v>254920</v>
          </cell>
          <cell r="M155"/>
          <cell r="N155" t="str">
            <v>Recoupment Academy</v>
          </cell>
          <cell r="O155">
            <v>0</v>
          </cell>
          <cell r="P155" t="b">
            <v>1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269</v>
          </cell>
          <cell r="X155">
            <v>2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K155">
            <v>0</v>
          </cell>
          <cell r="AM155" t="e">
            <v>#REF!</v>
          </cell>
          <cell r="AN155" t="e">
            <v>#REF!</v>
          </cell>
          <cell r="AO155" t="e">
            <v>#REF!</v>
          </cell>
          <cell r="AP155" t="e">
            <v>#REF!</v>
          </cell>
          <cell r="AQ155" t="e">
            <v>#REF!</v>
          </cell>
          <cell r="AR155" t="e">
            <v>#REF!</v>
          </cell>
          <cell r="AS155" t="e">
            <v>#REF!</v>
          </cell>
          <cell r="AT155" t="e">
            <v>#REF!</v>
          </cell>
          <cell r="AV155" t="e">
            <v>#REF!</v>
          </cell>
          <cell r="AW155" t="e">
            <v>#REF!</v>
          </cell>
          <cell r="AX155" t="e">
            <v>#REF!</v>
          </cell>
          <cell r="AY155" t="e">
            <v>#REF!</v>
          </cell>
          <cell r="AZ155">
            <v>0</v>
          </cell>
          <cell r="BA155" t="e">
            <v>#REF!</v>
          </cell>
          <cell r="BB155" t="e">
            <v>#REF!</v>
          </cell>
          <cell r="BC155" t="e">
            <v>#REF!</v>
          </cell>
          <cell r="BD155">
            <v>0</v>
          </cell>
          <cell r="BG155">
            <v>155240</v>
          </cell>
          <cell r="BH155">
            <v>155240</v>
          </cell>
          <cell r="BI155">
            <v>0</v>
          </cell>
          <cell r="BJ155">
            <v>0</v>
          </cell>
          <cell r="BK155">
            <v>0</v>
          </cell>
          <cell r="BP155">
            <v>236555</v>
          </cell>
        </row>
        <row r="156">
          <cell r="C156">
            <v>4278</v>
          </cell>
          <cell r="D156" t="str">
            <v>Handsworth Grange Community Sports College</v>
          </cell>
          <cell r="E156">
            <v>0</v>
          </cell>
          <cell r="F156">
            <v>353.49999999999989</v>
          </cell>
          <cell r="G156">
            <v>1</v>
          </cell>
          <cell r="H156">
            <v>0</v>
          </cell>
          <cell r="I156">
            <v>330522.49999999988</v>
          </cell>
          <cell r="J156">
            <v>300</v>
          </cell>
          <cell r="K156">
            <v>0</v>
          </cell>
          <cell r="L156">
            <v>330822.49999999988</v>
          </cell>
          <cell r="M156"/>
          <cell r="N156" t="str">
            <v>Recoupment Academy</v>
          </cell>
          <cell r="O156">
            <v>0</v>
          </cell>
          <cell r="P156" t="b">
            <v>1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353.49999999999989</v>
          </cell>
          <cell r="X156">
            <v>1</v>
          </cell>
          <cell r="Y156">
            <v>0</v>
          </cell>
          <cell r="Z156">
            <v>0</v>
          </cell>
          <cell r="AA156">
            <v>0</v>
          </cell>
          <cell r="AB156" t="e">
            <v>#N/A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K156">
            <v>0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V156" t="e">
            <v>#REF!</v>
          </cell>
          <cell r="AW156" t="e">
            <v>#REF!</v>
          </cell>
          <cell r="AX156" t="e">
            <v>#REF!</v>
          </cell>
          <cell r="AY156" t="e">
            <v>#REF!</v>
          </cell>
          <cell r="AZ156">
            <v>0</v>
          </cell>
          <cell r="BA156" t="e">
            <v>#REF!</v>
          </cell>
          <cell r="BB156" t="e">
            <v>#REF!</v>
          </cell>
          <cell r="BC156" t="e">
            <v>#REF!</v>
          </cell>
          <cell r="BD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P156">
            <v>341742.49999999988</v>
          </cell>
        </row>
        <row r="157">
          <cell r="C157">
            <v>4257</v>
          </cell>
          <cell r="D157" t="str">
            <v>High Storrs School</v>
          </cell>
          <cell r="E157">
            <v>0</v>
          </cell>
          <cell r="F157">
            <v>126</v>
          </cell>
          <cell r="G157">
            <v>0</v>
          </cell>
          <cell r="H157">
            <v>9</v>
          </cell>
          <cell r="I157">
            <v>117810</v>
          </cell>
          <cell r="J157">
            <v>0</v>
          </cell>
          <cell r="K157">
            <v>20700</v>
          </cell>
          <cell r="L157">
            <v>138510</v>
          </cell>
          <cell r="M157"/>
          <cell r="N157" t="str">
            <v>Recoupment Academy</v>
          </cell>
          <cell r="O157">
            <v>0</v>
          </cell>
          <cell r="P157" t="b">
            <v>1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126</v>
          </cell>
          <cell r="X157">
            <v>0</v>
          </cell>
          <cell r="Y157">
            <v>9</v>
          </cell>
          <cell r="Z157">
            <v>0</v>
          </cell>
          <cell r="AA157">
            <v>0</v>
          </cell>
          <cell r="AB157" t="e">
            <v>#N/A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K157">
            <v>0</v>
          </cell>
          <cell r="AM157" t="e">
            <v>#REF!</v>
          </cell>
          <cell r="AN157" t="e">
            <v>#REF!</v>
          </cell>
          <cell r="AO157" t="e">
            <v>#REF!</v>
          </cell>
          <cell r="AP157" t="e">
            <v>#REF!</v>
          </cell>
          <cell r="AQ157" t="e">
            <v>#REF!</v>
          </cell>
          <cell r="AR157" t="e">
            <v>#REF!</v>
          </cell>
          <cell r="AS157" t="e">
            <v>#REF!</v>
          </cell>
          <cell r="AT157" t="e">
            <v>#REF!</v>
          </cell>
          <cell r="AV157" t="e">
            <v>#REF!</v>
          </cell>
          <cell r="AW157" t="e">
            <v>#REF!</v>
          </cell>
          <cell r="AX157" t="e">
            <v>#REF!</v>
          </cell>
          <cell r="AY157" t="e">
            <v>#REF!</v>
          </cell>
          <cell r="AZ157">
            <v>0</v>
          </cell>
          <cell r="BA157" t="e">
            <v>#REF!</v>
          </cell>
          <cell r="BB157" t="e">
            <v>#REF!</v>
          </cell>
          <cell r="BC157" t="e">
            <v>#REF!</v>
          </cell>
          <cell r="BD157">
            <v>0</v>
          </cell>
          <cell r="BG157">
            <v>342450</v>
          </cell>
          <cell r="BH157">
            <v>342450</v>
          </cell>
          <cell r="BI157">
            <v>0</v>
          </cell>
          <cell r="BJ157">
            <v>0</v>
          </cell>
          <cell r="BK157">
            <v>0</v>
          </cell>
          <cell r="BP157">
            <v>135575</v>
          </cell>
        </row>
        <row r="158">
          <cell r="C158">
            <v>4230</v>
          </cell>
          <cell r="D158" t="str">
            <v>King Ecgbert School (Mercia)</v>
          </cell>
          <cell r="E158">
            <v>0</v>
          </cell>
          <cell r="F158">
            <v>197</v>
          </cell>
          <cell r="G158">
            <v>2</v>
          </cell>
          <cell r="H158">
            <v>9</v>
          </cell>
          <cell r="I158">
            <v>184195</v>
          </cell>
          <cell r="J158">
            <v>600</v>
          </cell>
          <cell r="K158">
            <v>20700</v>
          </cell>
          <cell r="L158">
            <v>205495</v>
          </cell>
          <cell r="M158"/>
          <cell r="N158" t="str">
            <v>Recoupment Academy</v>
          </cell>
          <cell r="O158">
            <v>0</v>
          </cell>
          <cell r="P158" t="b">
            <v>1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197</v>
          </cell>
          <cell r="X158">
            <v>2</v>
          </cell>
          <cell r="Y158">
            <v>9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K158">
            <v>0</v>
          </cell>
          <cell r="AM158" t="e">
            <v>#REF!</v>
          </cell>
          <cell r="AN158" t="e">
            <v>#REF!</v>
          </cell>
          <cell r="AO158" t="e">
            <v>#REF!</v>
          </cell>
          <cell r="AP158" t="e">
            <v>#REF!</v>
          </cell>
          <cell r="AQ158" t="e">
            <v>#REF!</v>
          </cell>
          <cell r="AR158" t="e">
            <v>#REF!</v>
          </cell>
          <cell r="AS158" t="e">
            <v>#REF!</v>
          </cell>
          <cell r="AT158" t="e">
            <v>#REF!</v>
          </cell>
          <cell r="AV158" t="e">
            <v>#REF!</v>
          </cell>
          <cell r="AW158" t="e">
            <v>#REF!</v>
          </cell>
          <cell r="AX158" t="e">
            <v>#REF!</v>
          </cell>
          <cell r="AY158" t="e">
            <v>#REF!</v>
          </cell>
          <cell r="AZ158">
            <v>0</v>
          </cell>
          <cell r="BA158" t="e">
            <v>#REF!</v>
          </cell>
          <cell r="BB158" t="e">
            <v>#REF!</v>
          </cell>
          <cell r="BC158" t="e">
            <v>#REF!</v>
          </cell>
          <cell r="BD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P158">
            <v>182325</v>
          </cell>
        </row>
        <row r="159">
          <cell r="C159">
            <v>4259</v>
          </cell>
          <cell r="D159" t="str">
            <v>KING EDWARD VII</v>
          </cell>
          <cell r="E159">
            <v>0</v>
          </cell>
          <cell r="F159">
            <v>355</v>
          </cell>
          <cell r="G159">
            <v>1</v>
          </cell>
          <cell r="H159">
            <v>4</v>
          </cell>
          <cell r="I159">
            <v>331925</v>
          </cell>
          <cell r="J159">
            <v>300</v>
          </cell>
          <cell r="K159">
            <v>9200</v>
          </cell>
          <cell r="L159">
            <v>341425</v>
          </cell>
          <cell r="M159"/>
          <cell r="N159">
            <v>0</v>
          </cell>
          <cell r="O159">
            <v>0</v>
          </cell>
          <cell r="P159" t="b">
            <v>0</v>
          </cell>
          <cell r="Q159">
            <v>0</v>
          </cell>
          <cell r="R159">
            <v>12</v>
          </cell>
          <cell r="T159">
            <v>935</v>
          </cell>
          <cell r="U159">
            <v>341425</v>
          </cell>
          <cell r="V159">
            <v>0</v>
          </cell>
          <cell r="W159">
            <v>352</v>
          </cell>
          <cell r="X159">
            <v>1</v>
          </cell>
          <cell r="Y159">
            <v>4</v>
          </cell>
          <cell r="Z159">
            <v>338620</v>
          </cell>
          <cell r="AA159">
            <v>-2805</v>
          </cell>
          <cell r="AB159">
            <v>-2805</v>
          </cell>
          <cell r="AC159">
            <v>84150</v>
          </cell>
          <cell r="AD159">
            <v>85758.333333333328</v>
          </cell>
          <cell r="AE159">
            <v>84355.833333333343</v>
          </cell>
          <cell r="AF159">
            <v>84355.833333333343</v>
          </cell>
          <cell r="AG159">
            <v>0</v>
          </cell>
          <cell r="AK159">
            <v>336600</v>
          </cell>
          <cell r="AM159" t="e">
            <v>#REF!</v>
          </cell>
          <cell r="AN159" t="e">
            <v>#REF!</v>
          </cell>
          <cell r="AO159" t="e">
            <v>#REF!</v>
          </cell>
          <cell r="AP159" t="e">
            <v>#REF!</v>
          </cell>
          <cell r="AQ159" t="e">
            <v>#REF!</v>
          </cell>
          <cell r="AR159" t="e">
            <v>#REF!</v>
          </cell>
          <cell r="AS159" t="e">
            <v>#REF!</v>
          </cell>
          <cell r="AT159" t="e">
            <v>#REF!</v>
          </cell>
          <cell r="AV159" t="e">
            <v>#REF!</v>
          </cell>
          <cell r="AW159" t="e">
            <v>#REF!</v>
          </cell>
          <cell r="AX159" t="e">
            <v>#REF!</v>
          </cell>
          <cell r="AY159" t="e">
            <v>#REF!</v>
          </cell>
          <cell r="AZ159">
            <v>0</v>
          </cell>
          <cell r="BA159" t="e">
            <v>#REF!</v>
          </cell>
          <cell r="BB159" t="e">
            <v>#REF!</v>
          </cell>
          <cell r="BC159" t="e">
            <v>#REF!</v>
          </cell>
          <cell r="BD159">
            <v>-2805</v>
          </cell>
          <cell r="BG159">
            <v>0</v>
          </cell>
          <cell r="BH159">
            <v>-341425</v>
          </cell>
          <cell r="BI159">
            <v>0</v>
          </cell>
          <cell r="BJ159">
            <v>-254264.16666666666</v>
          </cell>
          <cell r="BK159">
            <v>0</v>
          </cell>
          <cell r="BP159">
            <v>336600</v>
          </cell>
        </row>
        <row r="160">
          <cell r="C160">
            <v>4279</v>
          </cell>
          <cell r="D160" t="str">
            <v>Meadowhead School Academy Trust</v>
          </cell>
          <cell r="E160">
            <v>0</v>
          </cell>
          <cell r="F160">
            <v>422</v>
          </cell>
          <cell r="G160">
            <v>0</v>
          </cell>
          <cell r="H160">
            <v>3</v>
          </cell>
          <cell r="I160">
            <v>394570</v>
          </cell>
          <cell r="J160">
            <v>0</v>
          </cell>
          <cell r="K160">
            <v>6900</v>
          </cell>
          <cell r="L160">
            <v>401470</v>
          </cell>
          <cell r="M160"/>
          <cell r="N160" t="str">
            <v>Recoupment Academy</v>
          </cell>
          <cell r="O160">
            <v>0</v>
          </cell>
          <cell r="P160" t="b">
            <v>1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420</v>
          </cell>
          <cell r="X160">
            <v>0</v>
          </cell>
          <cell r="Y160">
            <v>3</v>
          </cell>
          <cell r="Z160">
            <v>0</v>
          </cell>
          <cell r="AA160">
            <v>0</v>
          </cell>
          <cell r="AB160" t="e">
            <v>#N/A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K160">
            <v>0</v>
          </cell>
          <cell r="AM160" t="e">
            <v>#REF!</v>
          </cell>
          <cell r="AN160" t="e">
            <v>#REF!</v>
          </cell>
          <cell r="AO160" t="e">
            <v>#REF!</v>
          </cell>
          <cell r="AP160" t="e">
            <v>#REF!</v>
          </cell>
          <cell r="AQ160" t="e">
            <v>#REF!</v>
          </cell>
          <cell r="AR160" t="e">
            <v>#REF!</v>
          </cell>
          <cell r="AS160" t="e">
            <v>#REF!</v>
          </cell>
          <cell r="AT160" t="e">
            <v>#REF!</v>
          </cell>
          <cell r="AV160" t="e">
            <v>#REF!</v>
          </cell>
          <cell r="AW160" t="e">
            <v>#REF!</v>
          </cell>
          <cell r="AX160" t="e">
            <v>#REF!</v>
          </cell>
          <cell r="AY160" t="e">
            <v>#REF!</v>
          </cell>
          <cell r="AZ160">
            <v>0</v>
          </cell>
          <cell r="BA160" t="e">
            <v>#REF!</v>
          </cell>
          <cell r="BB160" t="e">
            <v>#REF!</v>
          </cell>
          <cell r="BC160" t="e">
            <v>#REF!</v>
          </cell>
          <cell r="BD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P160">
            <v>423555</v>
          </cell>
        </row>
        <row r="161">
          <cell r="C161">
            <v>4015</v>
          </cell>
          <cell r="D161" t="str">
            <v>Mercia Academy</v>
          </cell>
          <cell r="E161"/>
          <cell r="F161"/>
          <cell r="G161"/>
          <cell r="H161"/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/>
          <cell r="N161" t="str">
            <v>Recoupment Academy</v>
          </cell>
          <cell r="O161">
            <v>0</v>
          </cell>
          <cell r="P161" t="b">
            <v>1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V161"/>
          <cell r="W161"/>
          <cell r="X161"/>
          <cell r="Y161"/>
          <cell r="Z161"/>
          <cell r="AA161">
            <v>0</v>
          </cell>
          <cell r="AB161" t="e">
            <v>#N/A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K161">
            <v>0</v>
          </cell>
          <cell r="AM161" t="e">
            <v>#REF!</v>
          </cell>
          <cell r="AN161" t="e">
            <v>#REF!</v>
          </cell>
          <cell r="AO161" t="e">
            <v>#REF!</v>
          </cell>
          <cell r="AP161" t="e">
            <v>#REF!</v>
          </cell>
          <cell r="AQ161" t="e">
            <v>#REF!</v>
          </cell>
          <cell r="AR161" t="e">
            <v>#REF!</v>
          </cell>
          <cell r="AS161" t="e">
            <v>#REF!</v>
          </cell>
          <cell r="AT161" t="e">
            <v>#REF!</v>
          </cell>
          <cell r="AV161" t="e">
            <v>#REF!</v>
          </cell>
          <cell r="AW161" t="e">
            <v>#REF!</v>
          </cell>
          <cell r="AX161" t="e">
            <v>#REF!</v>
          </cell>
          <cell r="AY161" t="e">
            <v>#REF!</v>
          </cell>
          <cell r="AZ161">
            <v>0</v>
          </cell>
          <cell r="BA161" t="e">
            <v>#REF!</v>
          </cell>
          <cell r="BB161" t="e">
            <v>#REF!</v>
          </cell>
          <cell r="BC161" t="e">
            <v>#REF!</v>
          </cell>
          <cell r="BD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P161">
            <v>10707.072570725697</v>
          </cell>
        </row>
        <row r="162">
          <cell r="C162">
            <v>4008</v>
          </cell>
          <cell r="D162" t="str">
            <v>Newfield (Mercia)</v>
          </cell>
          <cell r="E162">
            <v>0</v>
          </cell>
          <cell r="F162">
            <v>423.00000000000006</v>
          </cell>
          <cell r="G162">
            <v>3</v>
          </cell>
          <cell r="H162">
            <v>3</v>
          </cell>
          <cell r="I162">
            <v>395505.00000000006</v>
          </cell>
          <cell r="J162">
            <v>900</v>
          </cell>
          <cell r="K162">
            <v>6900</v>
          </cell>
          <cell r="L162">
            <v>403305.00000000006</v>
          </cell>
          <cell r="M162"/>
          <cell r="N162" t="str">
            <v>Recoupment Academy</v>
          </cell>
          <cell r="O162">
            <v>0</v>
          </cell>
          <cell r="P162" t="b">
            <v>1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421.00000000000017</v>
          </cell>
          <cell r="X162">
            <v>3</v>
          </cell>
          <cell r="Y162">
            <v>3</v>
          </cell>
          <cell r="Z162">
            <v>0</v>
          </cell>
          <cell r="AA162">
            <v>0</v>
          </cell>
          <cell r="AB162" t="e">
            <v>#N/A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K162">
            <v>0</v>
          </cell>
          <cell r="AM162" t="e">
            <v>#REF!</v>
          </cell>
          <cell r="AN162" t="e">
            <v>#REF!</v>
          </cell>
          <cell r="AO162" t="e">
            <v>#REF!</v>
          </cell>
          <cell r="AP162" t="e">
            <v>#REF!</v>
          </cell>
          <cell r="AQ162" t="e">
            <v>#REF!</v>
          </cell>
          <cell r="AR162" t="e">
            <v>#REF!</v>
          </cell>
          <cell r="AS162" t="e">
            <v>#REF!</v>
          </cell>
          <cell r="AT162" t="e">
            <v>#REF!</v>
          </cell>
          <cell r="AV162" t="e">
            <v>#REF!</v>
          </cell>
          <cell r="AW162" t="e">
            <v>#REF!</v>
          </cell>
          <cell r="AX162" t="e">
            <v>#REF!</v>
          </cell>
          <cell r="AY162" t="e">
            <v>#REF!</v>
          </cell>
          <cell r="AZ162">
            <v>0</v>
          </cell>
          <cell r="BA162" t="e">
            <v>#REF!</v>
          </cell>
          <cell r="BB162" t="e">
            <v>#REF!</v>
          </cell>
          <cell r="BC162" t="e">
            <v>#REF!</v>
          </cell>
          <cell r="BD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P162">
            <v>374935</v>
          </cell>
        </row>
        <row r="163">
          <cell r="C163">
            <v>5400</v>
          </cell>
          <cell r="D163" t="str">
            <v>Notre Dame High School</v>
          </cell>
          <cell r="E163">
            <v>0</v>
          </cell>
          <cell r="F163">
            <v>125</v>
          </cell>
          <cell r="G163">
            <v>3</v>
          </cell>
          <cell r="H163">
            <v>19</v>
          </cell>
          <cell r="I163">
            <v>116875</v>
          </cell>
          <cell r="J163">
            <v>900</v>
          </cell>
          <cell r="K163">
            <v>43700</v>
          </cell>
          <cell r="L163">
            <v>161475</v>
          </cell>
          <cell r="M163"/>
          <cell r="N163" t="str">
            <v>Recoupment Academy</v>
          </cell>
          <cell r="O163">
            <v>0</v>
          </cell>
          <cell r="P163" t="b">
            <v>1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125</v>
          </cell>
          <cell r="X163">
            <v>3</v>
          </cell>
          <cell r="Y163">
            <v>19</v>
          </cell>
          <cell r="Z163">
            <v>0</v>
          </cell>
          <cell r="AA163">
            <v>0</v>
          </cell>
          <cell r="AB163" t="e">
            <v>#N/A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K163">
            <v>0</v>
          </cell>
          <cell r="AM163" t="e">
            <v>#REF!</v>
          </cell>
          <cell r="AN163" t="e">
            <v>#REF!</v>
          </cell>
          <cell r="AO163" t="e">
            <v>#REF!</v>
          </cell>
          <cell r="AP163" t="e">
            <v>#REF!</v>
          </cell>
          <cell r="AQ163" t="e">
            <v>#REF!</v>
          </cell>
          <cell r="AR163" t="e">
            <v>#REF!</v>
          </cell>
          <cell r="AS163" t="e">
            <v>#REF!</v>
          </cell>
          <cell r="AT163" t="e">
            <v>#REF!</v>
          </cell>
          <cell r="AV163" t="e">
            <v>#REF!</v>
          </cell>
          <cell r="AW163" t="e">
            <v>#REF!</v>
          </cell>
          <cell r="AX163" t="e">
            <v>#REF!</v>
          </cell>
          <cell r="AY163" t="e">
            <v>#REF!</v>
          </cell>
          <cell r="AZ163">
            <v>0</v>
          </cell>
          <cell r="BA163" t="e">
            <v>#REF!</v>
          </cell>
          <cell r="BB163" t="e">
            <v>#REF!</v>
          </cell>
          <cell r="BC163" t="e">
            <v>#REF!</v>
          </cell>
          <cell r="BD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P163">
            <v>103785</v>
          </cell>
        </row>
        <row r="164">
          <cell r="C164">
            <v>6907</v>
          </cell>
          <cell r="D164" t="str">
            <v>Parkwood Academy</v>
          </cell>
          <cell r="E164">
            <v>0</v>
          </cell>
          <cell r="F164">
            <v>539.5</v>
          </cell>
          <cell r="G164">
            <v>1</v>
          </cell>
          <cell r="H164">
            <v>0</v>
          </cell>
          <cell r="I164">
            <v>504432.5</v>
          </cell>
          <cell r="J164">
            <v>300</v>
          </cell>
          <cell r="K164">
            <v>0</v>
          </cell>
          <cell r="L164">
            <v>504732.5</v>
          </cell>
          <cell r="M164"/>
          <cell r="N164" t="str">
            <v>Recoupment Academy</v>
          </cell>
          <cell r="O164">
            <v>0</v>
          </cell>
          <cell r="P164" t="b">
            <v>1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538.5</v>
          </cell>
          <cell r="X164">
            <v>1</v>
          </cell>
          <cell r="Y164">
            <v>0</v>
          </cell>
          <cell r="Z164">
            <v>0</v>
          </cell>
          <cell r="AA164">
            <v>0</v>
          </cell>
          <cell r="AB164" t="e">
            <v>#N/A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K164">
            <v>0</v>
          </cell>
          <cell r="AM164" t="e">
            <v>#REF!</v>
          </cell>
          <cell r="AN164" t="e">
            <v>#REF!</v>
          </cell>
          <cell r="AO164" t="e">
            <v>#REF!</v>
          </cell>
          <cell r="AP164" t="e">
            <v>#REF!</v>
          </cell>
          <cell r="AQ164" t="e">
            <v>#REF!</v>
          </cell>
          <cell r="AR164" t="e">
            <v>#REF!</v>
          </cell>
          <cell r="AS164" t="e">
            <v>#REF!</v>
          </cell>
          <cell r="AT164" t="e">
            <v>#REF!</v>
          </cell>
          <cell r="AV164" t="e">
            <v>#REF!</v>
          </cell>
          <cell r="AW164" t="e">
            <v>#REF!</v>
          </cell>
          <cell r="AX164" t="e">
            <v>#REF!</v>
          </cell>
          <cell r="AY164" t="e">
            <v>#REF!</v>
          </cell>
          <cell r="AZ164">
            <v>0</v>
          </cell>
          <cell r="BA164" t="e">
            <v>#REF!</v>
          </cell>
          <cell r="BB164" t="e">
            <v>#REF!</v>
          </cell>
          <cell r="BC164" t="e">
            <v>#REF!</v>
          </cell>
          <cell r="BD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P164">
            <v>469370</v>
          </cell>
        </row>
        <row r="165">
          <cell r="C165">
            <v>6905</v>
          </cell>
          <cell r="D165" t="str">
            <v>Sheffield Park Academy</v>
          </cell>
          <cell r="E165">
            <v>0</v>
          </cell>
          <cell r="F165">
            <v>556</v>
          </cell>
          <cell r="G165">
            <v>0</v>
          </cell>
          <cell r="H165">
            <v>0</v>
          </cell>
          <cell r="I165">
            <v>519860</v>
          </cell>
          <cell r="J165">
            <v>0</v>
          </cell>
          <cell r="K165">
            <v>0</v>
          </cell>
          <cell r="L165">
            <v>519860</v>
          </cell>
          <cell r="M165"/>
          <cell r="N165" t="str">
            <v>Recoupment Academy</v>
          </cell>
          <cell r="O165">
            <v>0</v>
          </cell>
          <cell r="P165" t="b">
            <v>1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552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 t="e">
            <v>#N/A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K165">
            <v>0</v>
          </cell>
          <cell r="AM165" t="e">
            <v>#REF!</v>
          </cell>
          <cell r="AN165" t="e">
            <v>#REF!</v>
          </cell>
          <cell r="AO165" t="e">
            <v>#REF!</v>
          </cell>
          <cell r="AP165" t="e">
            <v>#REF!</v>
          </cell>
          <cell r="AQ165" t="e">
            <v>#REF!</v>
          </cell>
          <cell r="AR165" t="e">
            <v>#REF!</v>
          </cell>
          <cell r="AS165" t="e">
            <v>#REF!</v>
          </cell>
          <cell r="AT165" t="e">
            <v>#REF!</v>
          </cell>
          <cell r="AV165" t="e">
            <v>#REF!</v>
          </cell>
          <cell r="AW165" t="e">
            <v>#REF!</v>
          </cell>
          <cell r="AX165" t="e">
            <v>#REF!</v>
          </cell>
          <cell r="AY165" t="e">
            <v>#REF!</v>
          </cell>
          <cell r="AZ165">
            <v>0</v>
          </cell>
          <cell r="BA165" t="e">
            <v>#REF!</v>
          </cell>
          <cell r="BB165" t="e">
            <v>#REF!</v>
          </cell>
          <cell r="BC165" t="e">
            <v>#REF!</v>
          </cell>
          <cell r="BD165">
            <v>0</v>
          </cell>
          <cell r="BG165">
            <v>194445</v>
          </cell>
          <cell r="BH165">
            <v>194445</v>
          </cell>
          <cell r="BI165">
            <v>0</v>
          </cell>
          <cell r="BJ165">
            <v>0</v>
          </cell>
          <cell r="BK165">
            <v>0</v>
          </cell>
          <cell r="BP165">
            <v>505835</v>
          </cell>
        </row>
        <row r="166">
          <cell r="C166">
            <v>6906</v>
          </cell>
          <cell r="D166" t="str">
            <v>Sheffield Springs Academy</v>
          </cell>
          <cell r="E166">
            <v>0</v>
          </cell>
          <cell r="F166">
            <v>451.49999999999994</v>
          </cell>
          <cell r="G166">
            <v>2</v>
          </cell>
          <cell r="H166">
            <v>1</v>
          </cell>
          <cell r="I166">
            <v>422152.49999999994</v>
          </cell>
          <cell r="J166">
            <v>600</v>
          </cell>
          <cell r="K166">
            <v>2300</v>
          </cell>
          <cell r="L166">
            <v>425052.49999999994</v>
          </cell>
          <cell r="M166"/>
          <cell r="N166" t="str">
            <v>Recoupment Academy</v>
          </cell>
          <cell r="O166">
            <v>0</v>
          </cell>
          <cell r="P166" t="b">
            <v>1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446.5</v>
          </cell>
          <cell r="X166">
            <v>2</v>
          </cell>
          <cell r="Y166">
            <v>1</v>
          </cell>
          <cell r="Z166">
            <v>0</v>
          </cell>
          <cell r="AA166">
            <v>0</v>
          </cell>
          <cell r="AB166" t="e">
            <v>#N/A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K166">
            <v>0</v>
          </cell>
          <cell r="AM166" t="e">
            <v>#REF!</v>
          </cell>
          <cell r="AN166" t="e">
            <v>#REF!</v>
          </cell>
          <cell r="AO166" t="e">
            <v>#REF!</v>
          </cell>
          <cell r="AP166" t="e">
            <v>#REF!</v>
          </cell>
          <cell r="AQ166" t="e">
            <v>#REF!</v>
          </cell>
          <cell r="AR166" t="e">
            <v>#REF!</v>
          </cell>
          <cell r="AS166" t="e">
            <v>#REF!</v>
          </cell>
          <cell r="AT166" t="e">
            <v>#REF!</v>
          </cell>
          <cell r="AV166" t="e">
            <v>#REF!</v>
          </cell>
          <cell r="AW166" t="e">
            <v>#REF!</v>
          </cell>
          <cell r="AX166" t="e">
            <v>#REF!</v>
          </cell>
          <cell r="AY166" t="e">
            <v>#REF!</v>
          </cell>
          <cell r="AZ166">
            <v>0</v>
          </cell>
          <cell r="BA166" t="e">
            <v>#REF!</v>
          </cell>
          <cell r="BB166" t="e">
            <v>#REF!</v>
          </cell>
          <cell r="BC166" t="e">
            <v>#REF!</v>
          </cell>
          <cell r="BD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P166">
            <v>398310</v>
          </cell>
        </row>
        <row r="167">
          <cell r="C167">
            <v>4229</v>
          </cell>
          <cell r="D167" t="str">
            <v>Silverdale School</v>
          </cell>
          <cell r="E167">
            <v>0</v>
          </cell>
          <cell r="F167">
            <v>165.5</v>
          </cell>
          <cell r="G167">
            <v>1</v>
          </cell>
          <cell r="H167">
            <v>3</v>
          </cell>
          <cell r="I167">
            <v>154742.5</v>
          </cell>
          <cell r="J167">
            <v>300</v>
          </cell>
          <cell r="K167">
            <v>6900</v>
          </cell>
          <cell r="L167">
            <v>161942.5</v>
          </cell>
          <cell r="M167"/>
          <cell r="N167" t="str">
            <v>Recoupment Academy</v>
          </cell>
          <cell r="O167">
            <v>0</v>
          </cell>
          <cell r="P167" t="b">
            <v>1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164.5</v>
          </cell>
          <cell r="X167">
            <v>1</v>
          </cell>
          <cell r="Y167">
            <v>3</v>
          </cell>
          <cell r="Z167">
            <v>0</v>
          </cell>
          <cell r="AA167">
            <v>0</v>
          </cell>
          <cell r="AB167" t="e">
            <v>#N/A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K167">
            <v>0</v>
          </cell>
          <cell r="AM167" t="e">
            <v>#REF!</v>
          </cell>
          <cell r="AN167" t="e">
            <v>#REF!</v>
          </cell>
          <cell r="AO167" t="e">
            <v>#REF!</v>
          </cell>
          <cell r="AP167" t="e">
            <v>#REF!</v>
          </cell>
          <cell r="AQ167" t="e">
            <v>#REF!</v>
          </cell>
          <cell r="AR167" t="e">
            <v>#REF!</v>
          </cell>
          <cell r="AS167" t="e">
            <v>#REF!</v>
          </cell>
          <cell r="AT167" t="e">
            <v>#REF!</v>
          </cell>
          <cell r="AV167" t="e">
            <v>#REF!</v>
          </cell>
          <cell r="AW167" t="e">
            <v>#REF!</v>
          </cell>
          <cell r="AX167" t="e">
            <v>#REF!</v>
          </cell>
          <cell r="AY167" t="e">
            <v>#REF!</v>
          </cell>
          <cell r="AZ167">
            <v>0</v>
          </cell>
          <cell r="BA167" t="e">
            <v>#REF!</v>
          </cell>
          <cell r="BB167" t="e">
            <v>#REF!</v>
          </cell>
          <cell r="BC167" t="e">
            <v>#REF!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P167">
            <v>162222.5</v>
          </cell>
        </row>
        <row r="168">
          <cell r="C168">
            <v>4271</v>
          </cell>
          <cell r="D168" t="str">
            <v>Stocksbridge High</v>
          </cell>
          <cell r="E168">
            <v>0</v>
          </cell>
          <cell r="F168">
            <v>197.5</v>
          </cell>
          <cell r="G168">
            <v>6</v>
          </cell>
          <cell r="H168">
            <v>3</v>
          </cell>
          <cell r="I168">
            <v>184662.5</v>
          </cell>
          <cell r="J168">
            <v>1800</v>
          </cell>
          <cell r="K168">
            <v>6900</v>
          </cell>
          <cell r="L168">
            <v>193362.5</v>
          </cell>
          <cell r="M168"/>
          <cell r="N168" t="str">
            <v>Recoupment Academy</v>
          </cell>
          <cell r="O168">
            <v>0</v>
          </cell>
          <cell r="P168" t="b">
            <v>1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197.5</v>
          </cell>
          <cell r="X168">
            <v>6</v>
          </cell>
          <cell r="Y168">
            <v>3</v>
          </cell>
          <cell r="Z168">
            <v>0</v>
          </cell>
          <cell r="AA168">
            <v>0</v>
          </cell>
          <cell r="AB168" t="e">
            <v>#N/A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K168">
            <v>0</v>
          </cell>
          <cell r="AM168" t="e">
            <v>#REF!</v>
          </cell>
          <cell r="AN168" t="e">
            <v>#REF!</v>
          </cell>
          <cell r="AO168" t="e">
            <v>#REF!</v>
          </cell>
          <cell r="AP168" t="e">
            <v>#REF!</v>
          </cell>
          <cell r="AQ168" t="e">
            <v>#REF!</v>
          </cell>
          <cell r="AR168" t="e">
            <v>#REF!</v>
          </cell>
          <cell r="AS168" t="e">
            <v>#REF!</v>
          </cell>
          <cell r="AT168" t="e">
            <v>#REF!</v>
          </cell>
          <cell r="AV168" t="e">
            <v>#REF!</v>
          </cell>
          <cell r="AW168" t="e">
            <v>#REF!</v>
          </cell>
          <cell r="AX168" t="e">
            <v>#REF!</v>
          </cell>
          <cell r="AY168" t="e">
            <v>#REF!</v>
          </cell>
          <cell r="AZ168">
            <v>0</v>
          </cell>
          <cell r="BA168" t="e">
            <v>#REF!</v>
          </cell>
          <cell r="BB168" t="e">
            <v>#REF!</v>
          </cell>
          <cell r="BC168" t="e">
            <v>#REF!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P168">
            <v>200090</v>
          </cell>
        </row>
        <row r="169">
          <cell r="C169">
            <v>4234</v>
          </cell>
          <cell r="D169" t="str">
            <v>Tapton</v>
          </cell>
          <cell r="E169">
            <v>0</v>
          </cell>
          <cell r="F169">
            <v>211</v>
          </cell>
          <cell r="G169">
            <v>2</v>
          </cell>
          <cell r="H169">
            <v>8</v>
          </cell>
          <cell r="I169">
            <v>197285</v>
          </cell>
          <cell r="J169">
            <v>600</v>
          </cell>
          <cell r="K169">
            <v>18400</v>
          </cell>
          <cell r="L169">
            <v>216285</v>
          </cell>
          <cell r="M169"/>
          <cell r="N169" t="str">
            <v>Recoupment Academy</v>
          </cell>
          <cell r="O169">
            <v>0</v>
          </cell>
          <cell r="P169" t="b">
            <v>1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209</v>
          </cell>
          <cell r="X169">
            <v>2</v>
          </cell>
          <cell r="Y169">
            <v>8</v>
          </cell>
          <cell r="Z169">
            <v>0</v>
          </cell>
          <cell r="AA169">
            <v>0</v>
          </cell>
          <cell r="AB169" t="e">
            <v>#N/A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K169">
            <v>0</v>
          </cell>
          <cell r="AM169" t="e">
            <v>#REF!</v>
          </cell>
          <cell r="AN169" t="e">
            <v>#REF!</v>
          </cell>
          <cell r="AO169" t="e">
            <v>#REF!</v>
          </cell>
          <cell r="AP169" t="e">
            <v>#REF!</v>
          </cell>
          <cell r="AQ169" t="e">
            <v>#REF!</v>
          </cell>
          <cell r="AR169" t="e">
            <v>#REF!</v>
          </cell>
          <cell r="AS169" t="e">
            <v>#REF!</v>
          </cell>
          <cell r="AT169" t="e">
            <v>#REF!</v>
          </cell>
          <cell r="AV169" t="e">
            <v>#REF!</v>
          </cell>
          <cell r="AW169" t="e">
            <v>#REF!</v>
          </cell>
          <cell r="AX169" t="e">
            <v>#REF!</v>
          </cell>
          <cell r="AY169" t="e">
            <v>#REF!</v>
          </cell>
          <cell r="AZ169">
            <v>0</v>
          </cell>
          <cell r="BA169" t="e">
            <v>#REF!</v>
          </cell>
          <cell r="BB169" t="e">
            <v>#REF!</v>
          </cell>
          <cell r="BC169" t="e">
            <v>#REF!</v>
          </cell>
          <cell r="BD169">
            <v>0</v>
          </cell>
          <cell r="BG169">
            <v>281807.5</v>
          </cell>
          <cell r="BH169">
            <v>281807.5</v>
          </cell>
          <cell r="BI169">
            <v>0</v>
          </cell>
          <cell r="BJ169">
            <v>0</v>
          </cell>
          <cell r="BK169">
            <v>0</v>
          </cell>
          <cell r="BP169">
            <v>178585</v>
          </cell>
        </row>
        <row r="170">
          <cell r="C170">
            <v>4006</v>
          </cell>
          <cell r="D170" t="str">
            <v>The City School (Outwood)</v>
          </cell>
          <cell r="E170">
            <v>0</v>
          </cell>
          <cell r="F170">
            <v>396.49999999999983</v>
          </cell>
          <cell r="G170">
            <v>3</v>
          </cell>
          <cell r="H170">
            <v>0</v>
          </cell>
          <cell r="I170">
            <v>370727.49999999983</v>
          </cell>
          <cell r="J170">
            <v>900</v>
          </cell>
          <cell r="K170">
            <v>0</v>
          </cell>
          <cell r="L170">
            <v>371627.49999999983</v>
          </cell>
          <cell r="M170"/>
          <cell r="N170" t="str">
            <v>Recoupment Academy</v>
          </cell>
          <cell r="O170">
            <v>0</v>
          </cell>
          <cell r="P170" t="b">
            <v>1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395.49999999999983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 t="e">
            <v>#N/A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K170">
            <v>0</v>
          </cell>
          <cell r="AM170" t="e">
            <v>#REF!</v>
          </cell>
          <cell r="AN170" t="e">
            <v>#REF!</v>
          </cell>
          <cell r="AO170" t="e">
            <v>#REF!</v>
          </cell>
          <cell r="AP170" t="e">
            <v>#REF!</v>
          </cell>
          <cell r="AQ170" t="e">
            <v>#REF!</v>
          </cell>
          <cell r="AR170" t="e">
            <v>#REF!</v>
          </cell>
          <cell r="AS170" t="e">
            <v>#REF!</v>
          </cell>
          <cell r="AT170" t="e">
            <v>#REF!</v>
          </cell>
          <cell r="AV170" t="e">
            <v>#REF!</v>
          </cell>
          <cell r="AW170" t="e">
            <v>#REF!</v>
          </cell>
          <cell r="AX170" t="e">
            <v>#REF!</v>
          </cell>
          <cell r="AY170" t="e">
            <v>#REF!</v>
          </cell>
          <cell r="AZ170">
            <v>0</v>
          </cell>
          <cell r="BA170" t="e">
            <v>#REF!</v>
          </cell>
          <cell r="BB170" t="e">
            <v>#REF!</v>
          </cell>
          <cell r="BC170" t="e">
            <v>#REF!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P170">
            <v>351092.49999999988</v>
          </cell>
        </row>
        <row r="171">
          <cell r="C171">
            <v>4004</v>
          </cell>
          <cell r="D171" t="str">
            <v>UTC Sheffield</v>
          </cell>
          <cell r="E171">
            <v>0</v>
          </cell>
          <cell r="F171">
            <v>59.5</v>
          </cell>
          <cell r="G171">
            <v>4</v>
          </cell>
          <cell r="H171">
            <v>0</v>
          </cell>
          <cell r="I171">
            <v>55632.5</v>
          </cell>
          <cell r="J171">
            <v>1200</v>
          </cell>
          <cell r="K171">
            <v>0</v>
          </cell>
          <cell r="L171">
            <v>56832.5</v>
          </cell>
          <cell r="M171"/>
          <cell r="N171" t="str">
            <v>Recoupment Academy</v>
          </cell>
          <cell r="O171">
            <v>0</v>
          </cell>
          <cell r="P171" t="b">
            <v>1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59.5</v>
          </cell>
          <cell r="X171">
            <v>4</v>
          </cell>
          <cell r="Y171">
            <v>0</v>
          </cell>
          <cell r="Z171">
            <v>0</v>
          </cell>
          <cell r="AA171">
            <v>0</v>
          </cell>
          <cell r="AB171" t="e">
            <v>#N/A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K171">
            <v>0</v>
          </cell>
          <cell r="AM171" t="e">
            <v>#REF!</v>
          </cell>
          <cell r="AN171" t="e">
            <v>#REF!</v>
          </cell>
          <cell r="AO171" t="e">
            <v>#REF!</v>
          </cell>
          <cell r="AP171" t="e">
            <v>#REF!</v>
          </cell>
          <cell r="AQ171" t="e">
            <v>#REF!</v>
          </cell>
          <cell r="AR171" t="e">
            <v>#REF!</v>
          </cell>
          <cell r="AS171" t="e">
            <v>#REF!</v>
          </cell>
          <cell r="AT171" t="e">
            <v>#REF!</v>
          </cell>
          <cell r="AV171" t="e">
            <v>#REF!</v>
          </cell>
          <cell r="AW171" t="e">
            <v>#REF!</v>
          </cell>
          <cell r="AX171" t="e">
            <v>#REF!</v>
          </cell>
          <cell r="AY171" t="e">
            <v>#REF!</v>
          </cell>
          <cell r="AZ171">
            <v>0</v>
          </cell>
          <cell r="BA171" t="e">
            <v>#REF!</v>
          </cell>
          <cell r="BB171" t="e">
            <v>#REF!</v>
          </cell>
          <cell r="BC171" t="e">
            <v>#REF!</v>
          </cell>
          <cell r="BD171">
            <v>0</v>
          </cell>
          <cell r="BG171">
            <v>1</v>
          </cell>
          <cell r="BH171">
            <v>1</v>
          </cell>
          <cell r="BI171">
            <v>0</v>
          </cell>
          <cell r="BJ171">
            <v>0</v>
          </cell>
          <cell r="BK171">
            <v>0</v>
          </cell>
          <cell r="BP171">
            <v>35530</v>
          </cell>
        </row>
        <row r="172">
          <cell r="C172">
            <v>4010</v>
          </cell>
          <cell r="D172" t="str">
            <v>UTC2 Sheffield OLP</v>
          </cell>
          <cell r="E172">
            <v>0</v>
          </cell>
          <cell r="F172">
            <v>41</v>
          </cell>
          <cell r="G172">
            <v>0</v>
          </cell>
          <cell r="H172">
            <v>1</v>
          </cell>
          <cell r="I172">
            <v>38335</v>
          </cell>
          <cell r="J172">
            <v>0</v>
          </cell>
          <cell r="K172">
            <v>2300</v>
          </cell>
          <cell r="L172">
            <v>40635</v>
          </cell>
          <cell r="M172"/>
          <cell r="N172" t="str">
            <v>Recoupment Academy</v>
          </cell>
          <cell r="O172">
            <v>0</v>
          </cell>
          <cell r="P172" t="b">
            <v>1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41</v>
          </cell>
          <cell r="X172">
            <v>0</v>
          </cell>
          <cell r="Y172">
            <v>1</v>
          </cell>
          <cell r="Z172">
            <v>0</v>
          </cell>
          <cell r="AA172">
            <v>0</v>
          </cell>
          <cell r="AB172" t="e">
            <v>#N/A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K172">
            <v>0</v>
          </cell>
          <cell r="AM172" t="e">
            <v>#REF!</v>
          </cell>
          <cell r="AN172" t="e">
            <v>#REF!</v>
          </cell>
          <cell r="AO172" t="e">
            <v>#REF!</v>
          </cell>
          <cell r="AP172" t="e">
            <v>#REF!</v>
          </cell>
          <cell r="AQ172" t="e">
            <v>#REF!</v>
          </cell>
          <cell r="AR172" t="e">
            <v>#REF!</v>
          </cell>
          <cell r="AS172" t="e">
            <v>#REF!</v>
          </cell>
          <cell r="AT172" t="e">
            <v>#REF!</v>
          </cell>
          <cell r="AV172" t="e">
            <v>#REF!</v>
          </cell>
          <cell r="AW172" t="e">
            <v>#REF!</v>
          </cell>
          <cell r="AX172" t="e">
            <v>#REF!</v>
          </cell>
          <cell r="AY172" t="e">
            <v>#REF!</v>
          </cell>
          <cell r="AZ172">
            <v>0</v>
          </cell>
          <cell r="BA172" t="e">
            <v>#REF!</v>
          </cell>
          <cell r="BB172" t="e">
            <v>#REF!</v>
          </cell>
          <cell r="BC172" t="e">
            <v>#REF!</v>
          </cell>
          <cell r="BD172">
            <v>0</v>
          </cell>
          <cell r="BG172">
            <v>2</v>
          </cell>
          <cell r="BH172">
            <v>2</v>
          </cell>
          <cell r="BI172">
            <v>0</v>
          </cell>
          <cell r="BJ172">
            <v>0</v>
          </cell>
          <cell r="BK172">
            <v>0</v>
          </cell>
          <cell r="BP172">
            <v>18700</v>
          </cell>
        </row>
        <row r="173">
          <cell r="C173">
            <v>4252</v>
          </cell>
          <cell r="D173" t="str">
            <v>Westfield School</v>
          </cell>
          <cell r="E173">
            <v>0</v>
          </cell>
          <cell r="F173">
            <v>263</v>
          </cell>
          <cell r="G173">
            <v>5</v>
          </cell>
          <cell r="H173">
            <v>4</v>
          </cell>
          <cell r="I173">
            <v>245905</v>
          </cell>
          <cell r="J173">
            <v>1500</v>
          </cell>
          <cell r="K173">
            <v>9200</v>
          </cell>
          <cell r="L173">
            <v>256605</v>
          </cell>
          <cell r="M173"/>
          <cell r="N173" t="str">
            <v>Recoupment Academy</v>
          </cell>
          <cell r="O173">
            <v>43435</v>
          </cell>
          <cell r="P173" t="b">
            <v>1</v>
          </cell>
          <cell r="Q173" t="str">
            <v>Autumn</v>
          </cell>
          <cell r="R173">
            <v>9</v>
          </cell>
          <cell r="T173">
            <v>935</v>
          </cell>
          <cell r="U173">
            <v>192453.75</v>
          </cell>
          <cell r="V173">
            <v>0</v>
          </cell>
          <cell r="W173">
            <v>263</v>
          </cell>
          <cell r="X173">
            <v>5</v>
          </cell>
          <cell r="Y173">
            <v>4</v>
          </cell>
          <cell r="Z173">
            <v>192453.75</v>
          </cell>
          <cell r="AA173">
            <v>0</v>
          </cell>
          <cell r="AB173">
            <v>0</v>
          </cell>
          <cell r="AC173">
            <v>67553.75</v>
          </cell>
          <cell r="AD173">
            <v>63017.083333333336</v>
          </cell>
          <cell r="AE173">
            <v>61883</v>
          </cell>
          <cell r="AF173">
            <v>0</v>
          </cell>
          <cell r="AG173">
            <v>8.333333334303461E-2</v>
          </cell>
          <cell r="AK173">
            <v>270215</v>
          </cell>
          <cell r="AM173" t="e">
            <v>#REF!</v>
          </cell>
          <cell r="AN173" t="e">
            <v>#REF!</v>
          </cell>
          <cell r="AO173" t="e">
            <v>#REF!</v>
          </cell>
          <cell r="AP173" t="e">
            <v>#REF!</v>
          </cell>
          <cell r="AQ173" t="e">
            <v>#REF!</v>
          </cell>
          <cell r="AR173" t="e">
            <v>#REF!</v>
          </cell>
          <cell r="AS173" t="e">
            <v>#REF!</v>
          </cell>
          <cell r="AT173" t="e">
            <v>#REF!</v>
          </cell>
          <cell r="AV173" t="e">
            <v>#REF!</v>
          </cell>
          <cell r="AW173" t="e">
            <v>#REF!</v>
          </cell>
          <cell r="AX173" t="e">
            <v>#REF!</v>
          </cell>
          <cell r="AY173" t="e">
            <v>#REF!</v>
          </cell>
          <cell r="AZ173">
            <v>0</v>
          </cell>
          <cell r="BA173" t="e">
            <v>#REF!</v>
          </cell>
          <cell r="BB173" t="e">
            <v>#REF!</v>
          </cell>
          <cell r="BC173" t="e">
            <v>#REF!</v>
          </cell>
          <cell r="BD173">
            <v>0</v>
          </cell>
          <cell r="BG173">
            <v>3</v>
          </cell>
          <cell r="BH173">
            <v>-192450.75</v>
          </cell>
          <cell r="BI173">
            <v>0</v>
          </cell>
          <cell r="BJ173">
            <v>-192453.83333333334</v>
          </cell>
          <cell r="BK173">
            <v>0</v>
          </cell>
          <cell r="BN173">
            <v>0</v>
          </cell>
          <cell r="BP173">
            <v>270215</v>
          </cell>
        </row>
        <row r="174">
          <cell r="C174">
            <v>4253</v>
          </cell>
          <cell r="D174" t="str">
            <v>Yewlands Academy</v>
          </cell>
          <cell r="E174">
            <v>0</v>
          </cell>
          <cell r="F174">
            <v>333</v>
          </cell>
          <cell r="G174">
            <v>1</v>
          </cell>
          <cell r="H174">
            <v>0</v>
          </cell>
          <cell r="I174">
            <v>311355</v>
          </cell>
          <cell r="J174">
            <v>300</v>
          </cell>
          <cell r="K174">
            <v>0</v>
          </cell>
          <cell r="L174">
            <v>311655</v>
          </cell>
          <cell r="M174"/>
          <cell r="N174" t="str">
            <v>Recoupment Academy</v>
          </cell>
          <cell r="O174">
            <v>0</v>
          </cell>
          <cell r="P174" t="b">
            <v>1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333</v>
          </cell>
          <cell r="X174">
            <v>1</v>
          </cell>
          <cell r="Y174">
            <v>0</v>
          </cell>
          <cell r="Z174">
            <v>0</v>
          </cell>
          <cell r="AA174">
            <v>0</v>
          </cell>
          <cell r="AB174" t="e">
            <v>#N/A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K174">
            <v>0</v>
          </cell>
          <cell r="AM174" t="e">
            <v>#REF!</v>
          </cell>
          <cell r="AN174" t="e">
            <v>#REF!</v>
          </cell>
          <cell r="AO174" t="e">
            <v>#REF!</v>
          </cell>
          <cell r="AP174" t="e">
            <v>#REF!</v>
          </cell>
          <cell r="AQ174" t="e">
            <v>#REF!</v>
          </cell>
          <cell r="AR174" t="e">
            <v>#REF!</v>
          </cell>
          <cell r="AS174" t="e">
            <v>#REF!</v>
          </cell>
          <cell r="AT174" t="e">
            <v>#REF!</v>
          </cell>
          <cell r="AV174" t="e">
            <v>#REF!</v>
          </cell>
          <cell r="AW174" t="e">
            <v>#REF!</v>
          </cell>
          <cell r="AX174" t="e">
            <v>#REF!</v>
          </cell>
          <cell r="AY174" t="e">
            <v>#REF!</v>
          </cell>
          <cell r="AZ174">
            <v>0</v>
          </cell>
          <cell r="BA174" t="e">
            <v>#REF!</v>
          </cell>
          <cell r="BB174" t="e">
            <v>#REF!</v>
          </cell>
          <cell r="BC174" t="e">
            <v>#REF!</v>
          </cell>
          <cell r="BD174">
            <v>0</v>
          </cell>
          <cell r="BG174">
            <v>4</v>
          </cell>
          <cell r="BH174">
            <v>4</v>
          </cell>
          <cell r="BI174">
            <v>0</v>
          </cell>
          <cell r="BJ174">
            <v>0</v>
          </cell>
          <cell r="BK174">
            <v>0</v>
          </cell>
          <cell r="BN174">
            <v>0</v>
          </cell>
          <cell r="BP174">
            <v>300135</v>
          </cell>
        </row>
        <row r="175">
          <cell r="E175"/>
          <cell r="F175"/>
          <cell r="G175"/>
          <cell r="H175"/>
          <cell r="I175"/>
          <cell r="J175"/>
          <cell r="K175"/>
          <cell r="L175"/>
          <cell r="M175"/>
          <cell r="O175"/>
          <cell r="P175"/>
          <cell r="U175">
            <v>0</v>
          </cell>
          <cell r="V175"/>
          <cell r="W175"/>
          <cell r="X175"/>
          <cell r="Y175"/>
          <cell r="Z175"/>
          <cell r="AA175"/>
          <cell r="AB175" t="e">
            <v>#N/A</v>
          </cell>
          <cell r="AC175"/>
          <cell r="AD175"/>
          <cell r="AE175">
            <v>0</v>
          </cell>
          <cell r="AF175">
            <v>0</v>
          </cell>
          <cell r="AG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I175">
            <v>0</v>
          </cell>
          <cell r="BJ175">
            <v>0</v>
          </cell>
          <cell r="BK175">
            <v>0</v>
          </cell>
          <cell r="BN175">
            <v>0</v>
          </cell>
          <cell r="BP175">
            <v>0</v>
          </cell>
        </row>
        <row r="176">
          <cell r="C176"/>
          <cell r="D176" t="str">
            <v>Total Secondary</v>
          </cell>
          <cell r="E176">
            <v>0</v>
          </cell>
          <cell r="F176">
            <v>8373</v>
          </cell>
          <cell r="G176">
            <v>56</v>
          </cell>
          <cell r="H176">
            <v>107</v>
          </cell>
          <cell r="I176">
            <v>7828754.9999999991</v>
          </cell>
          <cell r="J176">
            <v>16800</v>
          </cell>
          <cell r="K176">
            <v>246100</v>
          </cell>
          <cell r="L176">
            <v>8091654.9999999991</v>
          </cell>
          <cell r="M176">
            <v>0</v>
          </cell>
          <cell r="N176"/>
          <cell r="O176">
            <v>43435</v>
          </cell>
          <cell r="P176">
            <v>0</v>
          </cell>
          <cell r="Q176">
            <v>0</v>
          </cell>
          <cell r="R176">
            <v>21</v>
          </cell>
          <cell r="S176">
            <v>0</v>
          </cell>
          <cell r="T176">
            <v>1870</v>
          </cell>
          <cell r="U176">
            <v>533878.75</v>
          </cell>
          <cell r="V176">
            <v>0</v>
          </cell>
          <cell r="W176">
            <v>8344</v>
          </cell>
          <cell r="X176">
            <v>56</v>
          </cell>
          <cell r="Y176">
            <v>107</v>
          </cell>
          <cell r="Z176">
            <v>531073.75</v>
          </cell>
          <cell r="AA176">
            <v>-2805</v>
          </cell>
          <cell r="AB176" t="e">
            <v>#N/A</v>
          </cell>
          <cell r="AC176">
            <v>151703.75</v>
          </cell>
          <cell r="AD176">
            <v>148775.41666666666</v>
          </cell>
          <cell r="AE176">
            <v>146238.83333333334</v>
          </cell>
          <cell r="AF176">
            <v>84355.833333333343</v>
          </cell>
          <cell r="AG176">
            <v>8.3333333372138441E-2</v>
          </cell>
          <cell r="AH176">
            <v>0</v>
          </cell>
          <cell r="AI176">
            <v>0</v>
          </cell>
          <cell r="AJ176">
            <v>0</v>
          </cell>
          <cell r="AK176">
            <v>606815</v>
          </cell>
          <cell r="AL176">
            <v>0</v>
          </cell>
          <cell r="AM176" t="e">
            <v>#REF!</v>
          </cell>
          <cell r="AN176" t="e">
            <v>#REF!</v>
          </cell>
          <cell r="AO176" t="e">
            <v>#REF!</v>
          </cell>
          <cell r="AP176" t="e">
            <v>#REF!</v>
          </cell>
          <cell r="AQ176" t="e">
            <v>#REF!</v>
          </cell>
          <cell r="AR176" t="e">
            <v>#REF!</v>
          </cell>
          <cell r="AS176" t="e">
            <v>#REF!</v>
          </cell>
          <cell r="AT176" t="e">
            <v>#REF!</v>
          </cell>
          <cell r="AU176">
            <v>0</v>
          </cell>
          <cell r="AV176" t="e">
            <v>#REF!</v>
          </cell>
          <cell r="AW176" t="e">
            <v>#REF!</v>
          </cell>
          <cell r="AX176" t="e">
            <v>#REF!</v>
          </cell>
          <cell r="AY176" t="e">
            <v>#REF!</v>
          </cell>
          <cell r="AZ176">
            <v>0</v>
          </cell>
          <cell r="BA176" t="e">
            <v>#REF!</v>
          </cell>
          <cell r="BB176" t="e">
            <v>#REF!</v>
          </cell>
          <cell r="BC176" t="e">
            <v>#REF!</v>
          </cell>
          <cell r="BD176">
            <v>-2805</v>
          </cell>
          <cell r="BE176">
            <v>0</v>
          </cell>
          <cell r="BF176">
            <v>0</v>
          </cell>
          <cell r="BG176">
            <v>973952.5</v>
          </cell>
          <cell r="BH176">
            <v>440073.75</v>
          </cell>
          <cell r="BI176">
            <v>0</v>
          </cell>
          <cell r="BJ176">
            <v>-446718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7655734.5725707253</v>
          </cell>
        </row>
        <row r="177"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>
            <v>0</v>
          </cell>
          <cell r="V177"/>
          <cell r="W177"/>
          <cell r="X177"/>
          <cell r="Y177"/>
          <cell r="Z177"/>
          <cell r="AA177"/>
          <cell r="AB177" t="e">
            <v>#N/A</v>
          </cell>
          <cell r="AC177"/>
          <cell r="AD177"/>
          <cell r="AE177">
            <v>0</v>
          </cell>
          <cell r="AF177">
            <v>0</v>
          </cell>
          <cell r="AG177">
            <v>0</v>
          </cell>
          <cell r="AK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N177">
            <v>0</v>
          </cell>
          <cell r="BP177">
            <v>0</v>
          </cell>
        </row>
        <row r="178">
          <cell r="D178" t="str">
            <v>Middle Deemed Secondary</v>
          </cell>
          <cell r="E178"/>
          <cell r="F178"/>
          <cell r="G178"/>
          <cell r="H178"/>
          <cell r="I178"/>
          <cell r="J178"/>
          <cell r="K178"/>
          <cell r="L178"/>
          <cell r="M178"/>
          <cell r="O178"/>
          <cell r="P178"/>
          <cell r="U178">
            <v>0</v>
          </cell>
          <cell r="V178"/>
          <cell r="W178"/>
          <cell r="X178"/>
          <cell r="Y178"/>
          <cell r="Z178"/>
          <cell r="AA178"/>
          <cell r="AB178" t="e">
            <v>#N/A</v>
          </cell>
          <cell r="AC178"/>
          <cell r="AD178"/>
          <cell r="AE178">
            <v>0</v>
          </cell>
          <cell r="AF178">
            <v>0</v>
          </cell>
          <cell r="AG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I178">
            <v>0</v>
          </cell>
          <cell r="BJ178">
            <v>0</v>
          </cell>
          <cell r="BK178">
            <v>0</v>
          </cell>
          <cell r="BP178">
            <v>0</v>
          </cell>
        </row>
        <row r="179">
          <cell r="E179"/>
          <cell r="F179"/>
          <cell r="G179"/>
          <cell r="H179"/>
          <cell r="I179"/>
          <cell r="J179"/>
          <cell r="K179"/>
          <cell r="L179"/>
          <cell r="M179"/>
          <cell r="O179"/>
          <cell r="P179"/>
          <cell r="U179">
            <v>0</v>
          </cell>
          <cell r="V179"/>
          <cell r="W179"/>
          <cell r="X179"/>
          <cell r="Y179"/>
          <cell r="Z179"/>
          <cell r="AA179"/>
          <cell r="AB179" t="e">
            <v>#N/A</v>
          </cell>
          <cell r="AC179"/>
          <cell r="AD179"/>
          <cell r="AE179">
            <v>0</v>
          </cell>
          <cell r="AF179">
            <v>0</v>
          </cell>
          <cell r="AG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I179">
            <v>0</v>
          </cell>
          <cell r="BJ179">
            <v>0</v>
          </cell>
          <cell r="BK179">
            <v>0</v>
          </cell>
          <cell r="BP179">
            <v>0</v>
          </cell>
        </row>
        <row r="180">
          <cell r="C180">
            <v>4014</v>
          </cell>
          <cell r="D180" t="str">
            <v>Astrea Academy</v>
          </cell>
          <cell r="E180"/>
          <cell r="F180"/>
          <cell r="G180"/>
          <cell r="H180"/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/>
          <cell r="N180" t="str">
            <v>Recoupment Academy</v>
          </cell>
          <cell r="O180">
            <v>0</v>
          </cell>
          <cell r="P180" t="b">
            <v>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/>
          <cell r="W180"/>
          <cell r="X180"/>
          <cell r="Y180"/>
          <cell r="Z180"/>
          <cell r="AA180">
            <v>0</v>
          </cell>
          <cell r="AB180" t="e">
            <v>#N/A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I180">
            <v>0</v>
          </cell>
          <cell r="BJ180">
            <v>0</v>
          </cell>
          <cell r="BK180">
            <v>0</v>
          </cell>
          <cell r="BP180">
            <v>51205</v>
          </cell>
        </row>
        <row r="181">
          <cell r="C181">
            <v>4005</v>
          </cell>
          <cell r="D181" t="str">
            <v>Oasis Academy Don Valley</v>
          </cell>
          <cell r="E181">
            <v>101</v>
          </cell>
          <cell r="F181">
            <v>0</v>
          </cell>
          <cell r="G181">
            <v>0</v>
          </cell>
          <cell r="H181">
            <v>0</v>
          </cell>
          <cell r="I181">
            <v>133320</v>
          </cell>
          <cell r="J181">
            <v>0</v>
          </cell>
          <cell r="K181">
            <v>0</v>
          </cell>
          <cell r="L181">
            <v>133320</v>
          </cell>
          <cell r="M181"/>
          <cell r="N181" t="str">
            <v>Recoupment Academy</v>
          </cell>
          <cell r="O181">
            <v>0</v>
          </cell>
          <cell r="P181" t="b">
            <v>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101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 t="e">
            <v>#N/A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I181">
            <v>0</v>
          </cell>
          <cell r="BJ181">
            <v>0</v>
          </cell>
          <cell r="BK181">
            <v>0</v>
          </cell>
          <cell r="BP181">
            <v>256425.9453781512</v>
          </cell>
        </row>
        <row r="182">
          <cell r="C182">
            <v>4225</v>
          </cell>
          <cell r="D182" t="str">
            <v>Hinde House (Brigantia) School</v>
          </cell>
          <cell r="E182">
            <v>199</v>
          </cell>
          <cell r="F182">
            <v>437.49999999999972</v>
          </cell>
          <cell r="G182">
            <v>0</v>
          </cell>
          <cell r="H182">
            <v>4</v>
          </cell>
          <cell r="I182">
            <v>671742.49999999977</v>
          </cell>
          <cell r="J182">
            <v>0</v>
          </cell>
          <cell r="K182">
            <v>9200</v>
          </cell>
          <cell r="L182">
            <v>680942.49999999977</v>
          </cell>
          <cell r="M182"/>
          <cell r="N182" t="str">
            <v>Recoupment Academy</v>
          </cell>
          <cell r="O182">
            <v>0</v>
          </cell>
          <cell r="P182" t="b">
            <v>1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199</v>
          </cell>
          <cell r="W182">
            <v>436.49999999999966</v>
          </cell>
          <cell r="X182">
            <v>0</v>
          </cell>
          <cell r="Y182">
            <v>4</v>
          </cell>
          <cell r="Z182">
            <v>0</v>
          </cell>
          <cell r="AA182">
            <v>0</v>
          </cell>
          <cell r="AB182" t="e">
            <v>#N/A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K182">
            <v>0</v>
          </cell>
          <cell r="AM182" t="e">
            <v>#REF!</v>
          </cell>
          <cell r="AN182" t="e">
            <v>#REF!</v>
          </cell>
          <cell r="AO182" t="e">
            <v>#REF!</v>
          </cell>
          <cell r="AP182" t="e">
            <v>#REF!</v>
          </cell>
          <cell r="AQ182" t="e">
            <v>#REF!</v>
          </cell>
          <cell r="AR182" t="e">
            <v>#REF!</v>
          </cell>
          <cell r="AS182" t="e">
            <v>#REF!</v>
          </cell>
          <cell r="AT182" t="e">
            <v>#REF!</v>
          </cell>
          <cell r="AV182" t="e">
            <v>#REF!</v>
          </cell>
          <cell r="AW182" t="e">
            <v>#REF!</v>
          </cell>
          <cell r="AX182" t="e">
            <v>#REF!</v>
          </cell>
          <cell r="AY182" t="e">
            <v>#REF!</v>
          </cell>
          <cell r="AZ182" t="e">
            <v>#REF!</v>
          </cell>
          <cell r="BA182" t="e">
            <v>#REF!</v>
          </cell>
          <cell r="BB182" t="e">
            <v>#REF!</v>
          </cell>
          <cell r="BC182" t="e">
            <v>#REF!</v>
          </cell>
          <cell r="BD182">
            <v>0</v>
          </cell>
          <cell r="BG182">
            <v>74030</v>
          </cell>
          <cell r="BH182">
            <v>74030</v>
          </cell>
          <cell r="BI182">
            <v>0</v>
          </cell>
          <cell r="BJ182">
            <v>0</v>
          </cell>
          <cell r="BK182">
            <v>0</v>
          </cell>
          <cell r="BP182">
            <v>683430</v>
          </cell>
        </row>
        <row r="183">
          <cell r="E183"/>
          <cell r="F183"/>
          <cell r="G183"/>
          <cell r="H183"/>
          <cell r="I183"/>
          <cell r="J183"/>
          <cell r="K183"/>
          <cell r="L183"/>
          <cell r="M183"/>
          <cell r="O183"/>
          <cell r="P183"/>
          <cell r="U183">
            <v>0</v>
          </cell>
          <cell r="V183"/>
          <cell r="W183"/>
          <cell r="X183"/>
          <cell r="Y183"/>
          <cell r="Z183"/>
          <cell r="AA183"/>
          <cell r="AB183" t="e">
            <v>#N/A</v>
          </cell>
          <cell r="AC183"/>
          <cell r="AD183"/>
          <cell r="AE183">
            <v>0</v>
          </cell>
          <cell r="AF183">
            <v>0</v>
          </cell>
          <cell r="AG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I183">
            <v>0</v>
          </cell>
          <cell r="BJ183">
            <v>0</v>
          </cell>
          <cell r="BK183">
            <v>0</v>
          </cell>
          <cell r="BP183">
            <v>0</v>
          </cell>
        </row>
        <row r="184">
          <cell r="C184"/>
          <cell r="D184" t="str">
            <v>Total Secondary</v>
          </cell>
          <cell r="E184">
            <v>300</v>
          </cell>
          <cell r="F184">
            <v>437.49999999999972</v>
          </cell>
          <cell r="G184">
            <v>0</v>
          </cell>
          <cell r="H184">
            <v>4</v>
          </cell>
          <cell r="I184">
            <v>805062.49999999977</v>
          </cell>
          <cell r="J184">
            <v>0</v>
          </cell>
          <cell r="K184">
            <v>9200</v>
          </cell>
          <cell r="L184">
            <v>814262.49999999977</v>
          </cell>
          <cell r="M184">
            <v>0</v>
          </cell>
          <cell r="N184"/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300</v>
          </cell>
          <cell r="W184">
            <v>436.49999999999966</v>
          </cell>
          <cell r="X184">
            <v>0</v>
          </cell>
          <cell r="Y184">
            <v>4</v>
          </cell>
          <cell r="Z184">
            <v>0</v>
          </cell>
          <cell r="AA184">
            <v>0</v>
          </cell>
          <cell r="AB184" t="e">
            <v>#N/A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 t="e">
            <v>#REF!</v>
          </cell>
          <cell r="AN184" t="e">
            <v>#REF!</v>
          </cell>
          <cell r="AO184" t="e">
            <v>#REF!</v>
          </cell>
          <cell r="AP184" t="e">
            <v>#REF!</v>
          </cell>
          <cell r="AQ184" t="e">
            <v>#REF!</v>
          </cell>
          <cell r="AR184" t="e">
            <v>#REF!</v>
          </cell>
          <cell r="AS184" t="e">
            <v>#REF!</v>
          </cell>
          <cell r="AT184" t="e">
            <v>#REF!</v>
          </cell>
          <cell r="AU184">
            <v>0</v>
          </cell>
          <cell r="AV184" t="e">
            <v>#REF!</v>
          </cell>
          <cell r="AW184" t="e">
            <v>#REF!</v>
          </cell>
          <cell r="AX184" t="e">
            <v>#REF!</v>
          </cell>
          <cell r="AY184" t="e">
            <v>#REF!</v>
          </cell>
          <cell r="AZ184" t="e">
            <v>#REF!</v>
          </cell>
          <cell r="BA184" t="e">
            <v>#REF!</v>
          </cell>
          <cell r="BB184" t="e">
            <v>#REF!</v>
          </cell>
          <cell r="BC184" t="e">
            <v>#REF!</v>
          </cell>
          <cell r="BD184">
            <v>0</v>
          </cell>
          <cell r="BE184">
            <v>0</v>
          </cell>
          <cell r="BF184">
            <v>0</v>
          </cell>
          <cell r="BG184">
            <v>74030</v>
          </cell>
          <cell r="BH184">
            <v>74030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991060.94537815126</v>
          </cell>
        </row>
        <row r="185"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>
            <v>0</v>
          </cell>
          <cell r="V185"/>
          <cell r="W185"/>
          <cell r="X185"/>
          <cell r="Y185"/>
          <cell r="Z185"/>
          <cell r="AA185"/>
          <cell r="AB185" t="e">
            <v>#N/A</v>
          </cell>
          <cell r="AC185"/>
          <cell r="AD185"/>
          <cell r="AE185">
            <v>0</v>
          </cell>
          <cell r="AF185">
            <v>0</v>
          </cell>
          <cell r="AG185">
            <v>0</v>
          </cell>
          <cell r="AK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N185">
            <v>0</v>
          </cell>
          <cell r="BP185">
            <v>0</v>
          </cell>
        </row>
        <row r="186">
          <cell r="D186" t="str">
            <v>Total All Mainstream Schools</v>
          </cell>
          <cell r="E186">
            <v>13501.5</v>
          </cell>
          <cell r="F186">
            <v>8810.5</v>
          </cell>
          <cell r="G186">
            <v>126</v>
          </cell>
          <cell r="H186">
            <v>427</v>
          </cell>
          <cell r="I186">
            <v>26059797.5</v>
          </cell>
          <cell r="J186">
            <v>37800</v>
          </cell>
          <cell r="K186">
            <v>982100</v>
          </cell>
          <cell r="L186">
            <v>27079697.5</v>
          </cell>
          <cell r="M186">
            <v>0</v>
          </cell>
          <cell r="N186"/>
          <cell r="O186">
            <v>43435</v>
          </cell>
          <cell r="P186">
            <v>0</v>
          </cell>
          <cell r="Q186">
            <v>0</v>
          </cell>
          <cell r="R186">
            <v>957</v>
          </cell>
          <cell r="S186">
            <v>102960</v>
          </cell>
          <cell r="T186">
            <v>1870</v>
          </cell>
          <cell r="U186">
            <v>9125178.75</v>
          </cell>
          <cell r="V186">
            <v>13433.5</v>
          </cell>
          <cell r="W186">
            <v>8780.5</v>
          </cell>
          <cell r="X186">
            <v>126</v>
          </cell>
          <cell r="Y186">
            <v>427</v>
          </cell>
          <cell r="Z186">
            <v>9077493.75</v>
          </cell>
          <cell r="AA186">
            <v>-47685</v>
          </cell>
          <cell r="AB186" t="e">
            <v>#N/A</v>
          </cell>
          <cell r="AC186">
            <v>2177738.75</v>
          </cell>
          <cell r="AD186">
            <v>2337197.083333333</v>
          </cell>
          <cell r="AE186">
            <v>2301098.5</v>
          </cell>
          <cell r="AF186">
            <v>2261459.5</v>
          </cell>
          <cell r="AG186">
            <v>8.3333332091569901E-2</v>
          </cell>
          <cell r="AH186">
            <v>0</v>
          </cell>
          <cell r="AI186">
            <v>0</v>
          </cell>
          <cell r="AJ186">
            <v>0</v>
          </cell>
          <cell r="AK186">
            <v>8710955</v>
          </cell>
          <cell r="AL186">
            <v>0</v>
          </cell>
          <cell r="AM186" t="e">
            <v>#REF!</v>
          </cell>
          <cell r="AN186" t="e">
            <v>#REF!</v>
          </cell>
          <cell r="AO186" t="e">
            <v>#REF!</v>
          </cell>
          <cell r="AP186" t="e">
            <v>#REF!</v>
          </cell>
          <cell r="AQ186" t="e">
            <v>#REF!</v>
          </cell>
          <cell r="AR186" t="e">
            <v>#REF!</v>
          </cell>
          <cell r="AS186" t="e">
            <v>#REF!</v>
          </cell>
          <cell r="AT186" t="e">
            <v>#REF!</v>
          </cell>
          <cell r="AU186">
            <v>0</v>
          </cell>
          <cell r="AV186" t="e">
            <v>#REF!</v>
          </cell>
          <cell r="AW186" t="e">
            <v>#REF!</v>
          </cell>
          <cell r="AX186" t="e">
            <v>#REF!</v>
          </cell>
          <cell r="AY186" t="e">
            <v>#REF!</v>
          </cell>
          <cell r="AZ186" t="e">
            <v>#REF!</v>
          </cell>
          <cell r="BA186" t="e">
            <v>#REF!</v>
          </cell>
          <cell r="BB186" t="e">
            <v>#REF!</v>
          </cell>
          <cell r="BC186" t="e">
            <v>#REF!</v>
          </cell>
          <cell r="BD186">
            <v>-47685</v>
          </cell>
          <cell r="BE186">
            <v>0</v>
          </cell>
          <cell r="BF186">
            <v>0</v>
          </cell>
          <cell r="BG186">
            <v>11142532.5</v>
          </cell>
          <cell r="BH186">
            <v>2017353.75</v>
          </cell>
          <cell r="BI186">
            <v>164840</v>
          </cell>
          <cell r="BJ186">
            <v>-6602657.666666667</v>
          </cell>
          <cell r="BK186">
            <v>0</v>
          </cell>
          <cell r="BL186">
            <v>7976271</v>
          </cell>
          <cell r="BM186" t="e">
            <v>#N/A</v>
          </cell>
          <cell r="BN186">
            <v>9541223.879999999</v>
          </cell>
          <cell r="BO186">
            <v>0</v>
          </cell>
          <cell r="BP186">
            <v>25837155.517948877</v>
          </cell>
        </row>
        <row r="187">
          <cell r="E187"/>
          <cell r="F187"/>
          <cell r="G187"/>
          <cell r="H187"/>
          <cell r="I187"/>
          <cell r="J187"/>
          <cell r="K187"/>
          <cell r="L187"/>
          <cell r="M187"/>
          <cell r="O187"/>
          <cell r="P187"/>
          <cell r="U187">
            <v>0</v>
          </cell>
          <cell r="V187"/>
          <cell r="W187"/>
          <cell r="X187"/>
          <cell r="Y187"/>
          <cell r="Z187"/>
          <cell r="AA187"/>
          <cell r="AB187" t="e">
            <v>#N/A</v>
          </cell>
          <cell r="AC187"/>
          <cell r="AD187"/>
          <cell r="AE187">
            <v>0</v>
          </cell>
          <cell r="AF187">
            <v>0</v>
          </cell>
          <cell r="AG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I187">
            <v>0</v>
          </cell>
          <cell r="BJ187">
            <v>0</v>
          </cell>
          <cell r="BK187">
            <v>0</v>
          </cell>
          <cell r="BP187">
            <v>0</v>
          </cell>
        </row>
        <row r="188">
          <cell r="D188" t="str">
            <v>Special</v>
          </cell>
          <cell r="E188"/>
          <cell r="F188"/>
          <cell r="G188"/>
          <cell r="H188"/>
          <cell r="I188"/>
          <cell r="J188"/>
          <cell r="K188"/>
          <cell r="L188"/>
          <cell r="M188"/>
          <cell r="O188"/>
          <cell r="P188"/>
          <cell r="U188">
            <v>0</v>
          </cell>
          <cell r="V188"/>
          <cell r="W188"/>
          <cell r="X188"/>
          <cell r="Y188"/>
          <cell r="Z188"/>
          <cell r="AA188"/>
          <cell r="AB188" t="e">
            <v>#N/A</v>
          </cell>
          <cell r="AC188"/>
          <cell r="AD188"/>
          <cell r="AE188">
            <v>0</v>
          </cell>
          <cell r="AF188">
            <v>0</v>
          </cell>
          <cell r="AG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I188">
            <v>0</v>
          </cell>
          <cell r="BJ188">
            <v>0</v>
          </cell>
          <cell r="BK188">
            <v>0</v>
          </cell>
          <cell r="BP188">
            <v>0</v>
          </cell>
        </row>
        <row r="189">
          <cell r="E189"/>
          <cell r="F189"/>
          <cell r="G189"/>
          <cell r="H189"/>
          <cell r="I189"/>
          <cell r="J189"/>
          <cell r="K189"/>
          <cell r="L189"/>
          <cell r="M189"/>
          <cell r="O189"/>
          <cell r="P189"/>
          <cell r="U189">
            <v>0</v>
          </cell>
          <cell r="V189"/>
          <cell r="W189"/>
          <cell r="X189"/>
          <cell r="Y189"/>
          <cell r="Z189"/>
          <cell r="AA189"/>
          <cell r="AB189" t="e">
            <v>#N/A</v>
          </cell>
          <cell r="AC189"/>
          <cell r="AD189"/>
          <cell r="AE189">
            <v>0</v>
          </cell>
          <cell r="AF189">
            <v>0</v>
          </cell>
          <cell r="AG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I189">
            <v>0</v>
          </cell>
          <cell r="BJ189">
            <v>0</v>
          </cell>
          <cell r="BK189">
            <v>0</v>
          </cell>
          <cell r="BP189">
            <v>0</v>
          </cell>
        </row>
        <row r="190">
          <cell r="C190">
            <v>7038</v>
          </cell>
          <cell r="D190" t="str">
            <v>Becton School</v>
          </cell>
          <cell r="E190">
            <v>0</v>
          </cell>
          <cell r="F190">
            <v>6</v>
          </cell>
          <cell r="G190">
            <v>0</v>
          </cell>
          <cell r="H190">
            <v>0</v>
          </cell>
          <cell r="I190">
            <v>5610</v>
          </cell>
          <cell r="J190">
            <v>0</v>
          </cell>
          <cell r="K190">
            <v>0</v>
          </cell>
          <cell r="L190">
            <v>5610</v>
          </cell>
          <cell r="M190"/>
          <cell r="N190">
            <v>0</v>
          </cell>
          <cell r="O190"/>
          <cell r="P190" t="b">
            <v>0</v>
          </cell>
          <cell r="Q190">
            <v>0</v>
          </cell>
          <cell r="R190">
            <v>12</v>
          </cell>
          <cell r="S190">
            <v>1320</v>
          </cell>
          <cell r="T190">
            <v>935</v>
          </cell>
          <cell r="U190">
            <v>5610</v>
          </cell>
          <cell r="V190">
            <v>0</v>
          </cell>
          <cell r="W190">
            <v>6</v>
          </cell>
          <cell r="X190">
            <v>0</v>
          </cell>
          <cell r="Y190">
            <v>0</v>
          </cell>
          <cell r="Z190">
            <v>5610</v>
          </cell>
          <cell r="AA190">
            <v>0</v>
          </cell>
          <cell r="AB190">
            <v>0</v>
          </cell>
          <cell r="AC190">
            <v>1402.5</v>
          </cell>
          <cell r="AD190">
            <v>1402.5</v>
          </cell>
          <cell r="AE190">
            <v>1402.5</v>
          </cell>
          <cell r="AF190">
            <v>1402.5</v>
          </cell>
          <cell r="AG190">
            <v>0</v>
          </cell>
          <cell r="AK190">
            <v>5610</v>
          </cell>
          <cell r="AM190" t="e">
            <v>#REF!</v>
          </cell>
          <cell r="AN190" t="e">
            <v>#REF!</v>
          </cell>
          <cell r="AO190" t="e">
            <v>#REF!</v>
          </cell>
          <cell r="AP190" t="e">
            <v>#REF!</v>
          </cell>
          <cell r="AQ190" t="e">
            <v>#REF!</v>
          </cell>
          <cell r="AR190" t="e">
            <v>#REF!</v>
          </cell>
          <cell r="AS190" t="e">
            <v>#REF!</v>
          </cell>
          <cell r="AT190" t="e">
            <v>#REF!</v>
          </cell>
          <cell r="AV190" t="e">
            <v>#REF!</v>
          </cell>
          <cell r="AW190" t="e">
            <v>#REF!</v>
          </cell>
          <cell r="AX190" t="e">
            <v>#REF!</v>
          </cell>
          <cell r="AY190" t="e">
            <v>#REF!</v>
          </cell>
          <cell r="AZ190">
            <v>0</v>
          </cell>
          <cell r="BA190" t="e">
            <v>#REF!</v>
          </cell>
          <cell r="BB190" t="e">
            <v>#REF!</v>
          </cell>
          <cell r="BC190" t="e">
            <v>#REF!</v>
          </cell>
          <cell r="BD190">
            <v>0</v>
          </cell>
          <cell r="BG190">
            <v>140196</v>
          </cell>
          <cell r="BH190">
            <v>134586</v>
          </cell>
          <cell r="BI190">
            <v>0</v>
          </cell>
          <cell r="BJ190">
            <v>-4207.5</v>
          </cell>
          <cell r="BK190">
            <v>0</v>
          </cell>
          <cell r="BP190">
            <v>5610</v>
          </cell>
        </row>
        <row r="191">
          <cell r="C191">
            <v>7010</v>
          </cell>
          <cell r="D191" t="str">
            <v>Bents Green School</v>
          </cell>
          <cell r="E191">
            <v>0</v>
          </cell>
          <cell r="F191">
            <v>82</v>
          </cell>
          <cell r="G191">
            <v>0</v>
          </cell>
          <cell r="H191">
            <v>1</v>
          </cell>
          <cell r="I191">
            <v>76670</v>
          </cell>
          <cell r="J191">
            <v>0</v>
          </cell>
          <cell r="K191">
            <v>2300</v>
          </cell>
          <cell r="L191">
            <v>78970</v>
          </cell>
          <cell r="M191"/>
          <cell r="N191">
            <v>0</v>
          </cell>
          <cell r="O191">
            <v>0</v>
          </cell>
          <cell r="P191" t="b">
            <v>0</v>
          </cell>
          <cell r="Q191">
            <v>0</v>
          </cell>
          <cell r="R191">
            <v>12</v>
          </cell>
          <cell r="S191">
            <v>1320</v>
          </cell>
          <cell r="T191">
            <v>935</v>
          </cell>
          <cell r="U191">
            <v>78970</v>
          </cell>
          <cell r="V191">
            <v>0</v>
          </cell>
          <cell r="W191">
            <v>83</v>
          </cell>
          <cell r="X191">
            <v>0</v>
          </cell>
          <cell r="Y191">
            <v>1</v>
          </cell>
          <cell r="Z191">
            <v>79905</v>
          </cell>
          <cell r="AA191">
            <v>935</v>
          </cell>
          <cell r="AB191">
            <v>935</v>
          </cell>
          <cell r="AC191">
            <v>17297.5</v>
          </cell>
          <cell r="AD191">
            <v>20557.5</v>
          </cell>
          <cell r="AE191">
            <v>21025</v>
          </cell>
          <cell r="AF191">
            <v>21025</v>
          </cell>
          <cell r="AG191">
            <v>0</v>
          </cell>
          <cell r="AK191">
            <v>69190</v>
          </cell>
          <cell r="AM191" t="e">
            <v>#REF!</v>
          </cell>
          <cell r="AN191" t="e">
            <v>#REF!</v>
          </cell>
          <cell r="AO191" t="e">
            <v>#REF!</v>
          </cell>
          <cell r="AP191" t="e">
            <v>#REF!</v>
          </cell>
          <cell r="AQ191" t="e">
            <v>#REF!</v>
          </cell>
          <cell r="AR191" t="e">
            <v>#REF!</v>
          </cell>
          <cell r="AS191" t="e">
            <v>#REF!</v>
          </cell>
          <cell r="AT191" t="e">
            <v>#REF!</v>
          </cell>
          <cell r="AV191" t="e">
            <v>#REF!</v>
          </cell>
          <cell r="AW191" t="e">
            <v>#REF!</v>
          </cell>
          <cell r="AX191" t="e">
            <v>#REF!</v>
          </cell>
          <cell r="AY191" t="e">
            <v>#REF!</v>
          </cell>
          <cell r="AZ191">
            <v>0</v>
          </cell>
          <cell r="BA191" t="e">
            <v>#REF!</v>
          </cell>
          <cell r="BB191" t="e">
            <v>#REF!</v>
          </cell>
          <cell r="BC191" t="e">
            <v>#REF!</v>
          </cell>
          <cell r="BD191">
            <v>935</v>
          </cell>
          <cell r="BG191">
            <v>140197</v>
          </cell>
          <cell r="BH191">
            <v>61227</v>
          </cell>
          <cell r="BI191">
            <v>0</v>
          </cell>
          <cell r="BJ191">
            <v>-58880</v>
          </cell>
          <cell r="BK191">
            <v>0</v>
          </cell>
          <cell r="BN191">
            <v>0</v>
          </cell>
          <cell r="BP191">
            <v>69190</v>
          </cell>
        </row>
        <row r="192">
          <cell r="C192">
            <v>7040</v>
          </cell>
          <cell r="D192" t="str">
            <v>Heritage Park Community School</v>
          </cell>
          <cell r="E192">
            <v>16</v>
          </cell>
          <cell r="F192">
            <v>62</v>
          </cell>
          <cell r="G192">
            <v>0</v>
          </cell>
          <cell r="H192">
            <v>2</v>
          </cell>
          <cell r="I192">
            <v>79090</v>
          </cell>
          <cell r="J192">
            <v>0</v>
          </cell>
          <cell r="K192">
            <v>4600</v>
          </cell>
          <cell r="L192">
            <v>83690</v>
          </cell>
          <cell r="M192"/>
          <cell r="N192">
            <v>0</v>
          </cell>
          <cell r="O192">
            <v>0</v>
          </cell>
          <cell r="P192" t="b">
            <v>0</v>
          </cell>
          <cell r="Q192">
            <v>0</v>
          </cell>
          <cell r="R192">
            <v>12</v>
          </cell>
          <cell r="S192">
            <v>1320</v>
          </cell>
          <cell r="T192">
            <v>935</v>
          </cell>
          <cell r="U192">
            <v>83690</v>
          </cell>
          <cell r="V192">
            <v>16</v>
          </cell>
          <cell r="W192">
            <v>59</v>
          </cell>
          <cell r="X192">
            <v>0</v>
          </cell>
          <cell r="Y192">
            <v>2</v>
          </cell>
          <cell r="Z192">
            <v>80885</v>
          </cell>
          <cell r="AA192">
            <v>-2805</v>
          </cell>
          <cell r="AB192">
            <v>-2805</v>
          </cell>
          <cell r="AC192">
            <v>17943.75</v>
          </cell>
          <cell r="AD192">
            <v>21915.416666666668</v>
          </cell>
          <cell r="AE192">
            <v>20512.916666666664</v>
          </cell>
          <cell r="AF192">
            <v>20512.916666666664</v>
          </cell>
          <cell r="AG192">
            <v>0</v>
          </cell>
          <cell r="AK192">
            <v>71775</v>
          </cell>
          <cell r="AM192" t="e">
            <v>#REF!</v>
          </cell>
          <cell r="AN192" t="e">
            <v>#REF!</v>
          </cell>
          <cell r="AO192" t="e">
            <v>#REF!</v>
          </cell>
          <cell r="AP192" t="e">
            <v>#REF!</v>
          </cell>
          <cell r="AQ192" t="e">
            <v>#REF!</v>
          </cell>
          <cell r="AR192" t="e">
            <v>#REF!</v>
          </cell>
          <cell r="AS192" t="e">
            <v>#REF!</v>
          </cell>
          <cell r="AT192" t="e">
            <v>#REF!</v>
          </cell>
          <cell r="AV192" t="e">
            <v>#REF!</v>
          </cell>
          <cell r="AW192" t="e">
            <v>#REF!</v>
          </cell>
          <cell r="AX192" t="e">
            <v>#REF!</v>
          </cell>
          <cell r="AY192" t="e">
            <v>#REF!</v>
          </cell>
          <cell r="AZ192">
            <v>0</v>
          </cell>
          <cell r="BA192" t="e">
            <v>#REF!</v>
          </cell>
          <cell r="BB192" t="e">
            <v>#REF!</v>
          </cell>
          <cell r="BC192" t="e">
            <v>#REF!</v>
          </cell>
          <cell r="BD192">
            <v>-2805</v>
          </cell>
          <cell r="BG192">
            <v>140198</v>
          </cell>
          <cell r="BH192">
            <v>56508</v>
          </cell>
          <cell r="BI192">
            <v>0</v>
          </cell>
          <cell r="BJ192">
            <v>-60372.083333333336</v>
          </cell>
          <cell r="BK192">
            <v>0</v>
          </cell>
          <cell r="BN192">
            <v>0</v>
          </cell>
          <cell r="BP192">
            <v>71775</v>
          </cell>
        </row>
        <row r="193">
          <cell r="C193">
            <v>7041</v>
          </cell>
          <cell r="D193" t="str">
            <v>Holgate Meadows Community Special School</v>
          </cell>
          <cell r="E193">
            <v>13</v>
          </cell>
          <cell r="F193">
            <v>55</v>
          </cell>
          <cell r="G193">
            <v>0</v>
          </cell>
          <cell r="H193">
            <v>0</v>
          </cell>
          <cell r="I193">
            <v>68585</v>
          </cell>
          <cell r="J193">
            <v>0</v>
          </cell>
          <cell r="K193">
            <v>0</v>
          </cell>
          <cell r="L193">
            <v>68585</v>
          </cell>
          <cell r="M193"/>
          <cell r="N193">
            <v>0</v>
          </cell>
          <cell r="O193">
            <v>0</v>
          </cell>
          <cell r="P193" t="b">
            <v>0</v>
          </cell>
          <cell r="Q193">
            <v>0</v>
          </cell>
          <cell r="R193">
            <v>12</v>
          </cell>
          <cell r="S193">
            <v>1320</v>
          </cell>
          <cell r="T193">
            <v>935</v>
          </cell>
          <cell r="U193">
            <v>68585</v>
          </cell>
          <cell r="V193">
            <v>13</v>
          </cell>
          <cell r="W193">
            <v>53</v>
          </cell>
          <cell r="X193">
            <v>0</v>
          </cell>
          <cell r="Y193">
            <v>0</v>
          </cell>
          <cell r="Z193">
            <v>66715</v>
          </cell>
          <cell r="AA193">
            <v>-1870</v>
          </cell>
          <cell r="AB193">
            <v>-1870</v>
          </cell>
          <cell r="AC193">
            <v>16403.75</v>
          </cell>
          <cell r="AD193">
            <v>17393.75</v>
          </cell>
          <cell r="AE193">
            <v>16458.75</v>
          </cell>
          <cell r="AF193">
            <v>16458.75</v>
          </cell>
          <cell r="AG193">
            <v>0</v>
          </cell>
          <cell r="AK193">
            <v>65615</v>
          </cell>
          <cell r="AM193" t="e">
            <v>#REF!</v>
          </cell>
          <cell r="AN193" t="e">
            <v>#REF!</v>
          </cell>
          <cell r="AO193" t="e">
            <v>#REF!</v>
          </cell>
          <cell r="AP193" t="e">
            <v>#REF!</v>
          </cell>
          <cell r="AQ193" t="e">
            <v>#REF!</v>
          </cell>
          <cell r="AR193" t="e">
            <v>#REF!</v>
          </cell>
          <cell r="AS193" t="e">
            <v>#REF!</v>
          </cell>
          <cell r="AT193" t="e">
            <v>#REF!</v>
          </cell>
          <cell r="AV193" t="e">
            <v>#REF!</v>
          </cell>
          <cell r="AW193" t="e">
            <v>#REF!</v>
          </cell>
          <cell r="AX193" t="e">
            <v>#REF!</v>
          </cell>
          <cell r="AY193" t="e">
            <v>#REF!</v>
          </cell>
          <cell r="AZ193">
            <v>0</v>
          </cell>
          <cell r="BA193" t="e">
            <v>#REF!</v>
          </cell>
          <cell r="BB193" t="e">
            <v>#REF!</v>
          </cell>
          <cell r="BC193" t="e">
            <v>#REF!</v>
          </cell>
          <cell r="BD193">
            <v>-1870</v>
          </cell>
          <cell r="BG193">
            <v>140199</v>
          </cell>
          <cell r="BH193">
            <v>71614</v>
          </cell>
          <cell r="BI193">
            <v>15427.5</v>
          </cell>
          <cell r="BJ193">
            <v>-34828.75</v>
          </cell>
          <cell r="BK193">
            <v>0</v>
          </cell>
          <cell r="BN193">
            <v>0</v>
          </cell>
          <cell r="BP193">
            <v>65615</v>
          </cell>
        </row>
        <row r="194">
          <cell r="C194">
            <v>7036</v>
          </cell>
          <cell r="D194" t="str">
            <v>Mossbrook School</v>
          </cell>
          <cell r="E194">
            <v>51</v>
          </cell>
          <cell r="F194">
            <v>0</v>
          </cell>
          <cell r="G194">
            <v>0</v>
          </cell>
          <cell r="H194">
            <v>0</v>
          </cell>
          <cell r="I194">
            <v>67320</v>
          </cell>
          <cell r="J194">
            <v>0</v>
          </cell>
          <cell r="K194">
            <v>0</v>
          </cell>
          <cell r="L194">
            <v>67320</v>
          </cell>
          <cell r="M194"/>
          <cell r="N194">
            <v>0</v>
          </cell>
          <cell r="O194">
            <v>0</v>
          </cell>
          <cell r="P194" t="b">
            <v>0</v>
          </cell>
          <cell r="Q194">
            <v>0</v>
          </cell>
          <cell r="R194">
            <v>12</v>
          </cell>
          <cell r="S194">
            <v>1320</v>
          </cell>
          <cell r="T194">
            <v>935</v>
          </cell>
          <cell r="U194">
            <v>67320</v>
          </cell>
          <cell r="V194">
            <v>49</v>
          </cell>
          <cell r="W194">
            <v>0</v>
          </cell>
          <cell r="X194">
            <v>0</v>
          </cell>
          <cell r="Y194">
            <v>0</v>
          </cell>
          <cell r="Z194">
            <v>64680</v>
          </cell>
          <cell r="AA194">
            <v>-2640</v>
          </cell>
          <cell r="AB194">
            <v>-2640</v>
          </cell>
          <cell r="AC194">
            <v>15840</v>
          </cell>
          <cell r="AD194">
            <v>17160</v>
          </cell>
          <cell r="AE194">
            <v>15840</v>
          </cell>
          <cell r="AF194">
            <v>15840</v>
          </cell>
          <cell r="AG194">
            <v>0</v>
          </cell>
          <cell r="AK194">
            <v>63360</v>
          </cell>
          <cell r="AM194" t="e">
            <v>#REF!</v>
          </cell>
          <cell r="AN194" t="e">
            <v>#REF!</v>
          </cell>
          <cell r="AO194" t="e">
            <v>#REF!</v>
          </cell>
          <cell r="AP194" t="e">
            <v>#REF!</v>
          </cell>
          <cell r="AQ194" t="e">
            <v>#REF!</v>
          </cell>
          <cell r="AR194" t="e">
            <v>#REF!</v>
          </cell>
          <cell r="AS194" t="e">
            <v>#REF!</v>
          </cell>
          <cell r="AT194" t="e">
            <v>#REF!</v>
          </cell>
          <cell r="AV194" t="e">
            <v>#REF!</v>
          </cell>
          <cell r="AW194" t="e">
            <v>#REF!</v>
          </cell>
          <cell r="AX194" t="e">
            <v>#REF!</v>
          </cell>
          <cell r="AY194" t="e">
            <v>#REF!</v>
          </cell>
          <cell r="AZ194">
            <v>0</v>
          </cell>
          <cell r="BA194" t="e">
            <v>#REF!</v>
          </cell>
          <cell r="BB194" t="e">
            <v>#REF!</v>
          </cell>
          <cell r="BC194" t="e">
            <v>#REF!</v>
          </cell>
          <cell r="BD194">
            <v>-2640</v>
          </cell>
          <cell r="BG194">
            <v>140200</v>
          </cell>
          <cell r="BH194">
            <v>72880</v>
          </cell>
          <cell r="BI194">
            <v>44902.5</v>
          </cell>
          <cell r="BJ194">
            <v>-3937.5</v>
          </cell>
          <cell r="BK194">
            <v>0</v>
          </cell>
          <cell r="BN194">
            <v>0</v>
          </cell>
          <cell r="BP194">
            <v>63360</v>
          </cell>
        </row>
        <row r="195">
          <cell r="C195">
            <v>7023</v>
          </cell>
          <cell r="D195" t="str">
            <v>Norfolk Park School</v>
          </cell>
          <cell r="E195">
            <v>36</v>
          </cell>
          <cell r="F195">
            <v>0</v>
          </cell>
          <cell r="G195">
            <v>0</v>
          </cell>
          <cell r="H195">
            <v>0</v>
          </cell>
          <cell r="I195">
            <v>47520</v>
          </cell>
          <cell r="J195">
            <v>0</v>
          </cell>
          <cell r="K195">
            <v>0</v>
          </cell>
          <cell r="L195">
            <v>47520</v>
          </cell>
          <cell r="M195"/>
          <cell r="N195">
            <v>0</v>
          </cell>
          <cell r="O195">
            <v>0</v>
          </cell>
          <cell r="P195" t="b">
            <v>0</v>
          </cell>
          <cell r="Q195">
            <v>0</v>
          </cell>
          <cell r="R195">
            <v>12</v>
          </cell>
          <cell r="S195">
            <v>1320</v>
          </cell>
          <cell r="T195">
            <v>935</v>
          </cell>
          <cell r="U195">
            <v>47520</v>
          </cell>
          <cell r="V195">
            <v>34</v>
          </cell>
          <cell r="W195">
            <v>0</v>
          </cell>
          <cell r="X195">
            <v>0</v>
          </cell>
          <cell r="Y195">
            <v>0</v>
          </cell>
          <cell r="Z195">
            <v>44880</v>
          </cell>
          <cell r="AA195">
            <v>-2640</v>
          </cell>
          <cell r="AB195">
            <v>-2640</v>
          </cell>
          <cell r="AC195">
            <v>12870</v>
          </cell>
          <cell r="AD195">
            <v>11550</v>
          </cell>
          <cell r="AE195">
            <v>10230</v>
          </cell>
          <cell r="AF195">
            <v>10230</v>
          </cell>
          <cell r="AG195">
            <v>0</v>
          </cell>
          <cell r="AK195">
            <v>51480</v>
          </cell>
          <cell r="AM195" t="e">
            <v>#REF!</v>
          </cell>
          <cell r="AN195" t="e">
            <v>#REF!</v>
          </cell>
          <cell r="AO195" t="e">
            <v>#REF!</v>
          </cell>
          <cell r="AP195" t="e">
            <v>#REF!</v>
          </cell>
          <cell r="AQ195" t="e">
            <v>#REF!</v>
          </cell>
          <cell r="AR195" t="e">
            <v>#REF!</v>
          </cell>
          <cell r="AS195" t="e">
            <v>#REF!</v>
          </cell>
          <cell r="AT195" t="e">
            <v>#REF!</v>
          </cell>
          <cell r="AV195" t="e">
            <v>#REF!</v>
          </cell>
          <cell r="AW195" t="e">
            <v>#REF!</v>
          </cell>
          <cell r="AX195" t="e">
            <v>#REF!</v>
          </cell>
          <cell r="AY195" t="e">
            <v>#REF!</v>
          </cell>
          <cell r="AZ195">
            <v>0</v>
          </cell>
          <cell r="BA195" t="e">
            <v>#REF!</v>
          </cell>
          <cell r="BB195" t="e">
            <v>#REF!</v>
          </cell>
          <cell r="BC195" t="e">
            <v>#REF!</v>
          </cell>
          <cell r="BD195">
            <v>-2640</v>
          </cell>
          <cell r="BG195">
            <v>140201</v>
          </cell>
          <cell r="BH195">
            <v>92681</v>
          </cell>
          <cell r="BI195">
            <v>58024.25</v>
          </cell>
          <cell r="BJ195">
            <v>23374.25</v>
          </cell>
          <cell r="BK195">
            <v>0</v>
          </cell>
          <cell r="BN195">
            <v>0</v>
          </cell>
          <cell r="BP195">
            <v>51480</v>
          </cell>
        </row>
        <row r="196">
          <cell r="C196">
            <v>7043</v>
          </cell>
          <cell r="D196" t="str">
            <v>Seven Hills School</v>
          </cell>
          <cell r="E196">
            <v>0</v>
          </cell>
          <cell r="F196">
            <v>79</v>
          </cell>
          <cell r="G196">
            <v>0</v>
          </cell>
          <cell r="H196">
            <v>0</v>
          </cell>
          <cell r="I196">
            <v>73865</v>
          </cell>
          <cell r="J196">
            <v>0</v>
          </cell>
          <cell r="K196">
            <v>0</v>
          </cell>
          <cell r="L196">
            <v>73865</v>
          </cell>
          <cell r="M196"/>
          <cell r="N196">
            <v>0</v>
          </cell>
          <cell r="O196">
            <v>0</v>
          </cell>
          <cell r="P196" t="b">
            <v>0</v>
          </cell>
          <cell r="Q196">
            <v>0</v>
          </cell>
          <cell r="R196">
            <v>12</v>
          </cell>
          <cell r="S196">
            <v>1320</v>
          </cell>
          <cell r="T196">
            <v>935</v>
          </cell>
          <cell r="U196">
            <v>73865</v>
          </cell>
          <cell r="V196">
            <v>0</v>
          </cell>
          <cell r="W196">
            <v>78</v>
          </cell>
          <cell r="X196">
            <v>0</v>
          </cell>
          <cell r="Y196">
            <v>0</v>
          </cell>
          <cell r="Z196">
            <v>72930</v>
          </cell>
          <cell r="AA196">
            <v>-935</v>
          </cell>
          <cell r="AB196">
            <v>-935</v>
          </cell>
          <cell r="AC196">
            <v>19635</v>
          </cell>
          <cell r="AD196">
            <v>18076.666666666668</v>
          </cell>
          <cell r="AE196">
            <v>17609.166666666664</v>
          </cell>
          <cell r="AF196">
            <v>17609.166666666664</v>
          </cell>
          <cell r="AG196">
            <v>0</v>
          </cell>
          <cell r="AK196">
            <v>78540</v>
          </cell>
          <cell r="AM196" t="e">
            <v>#REF!</v>
          </cell>
          <cell r="AN196" t="e">
            <v>#REF!</v>
          </cell>
          <cell r="AO196" t="e">
            <v>#REF!</v>
          </cell>
          <cell r="AP196" t="e">
            <v>#REF!</v>
          </cell>
          <cell r="AQ196" t="e">
            <v>#REF!</v>
          </cell>
          <cell r="AR196" t="e">
            <v>#REF!</v>
          </cell>
          <cell r="AS196" t="e">
            <v>#REF!</v>
          </cell>
          <cell r="AT196" t="e">
            <v>#REF!</v>
          </cell>
          <cell r="AV196" t="e">
            <v>#REF!</v>
          </cell>
          <cell r="AW196" t="e">
            <v>#REF!</v>
          </cell>
          <cell r="AX196" t="e">
            <v>#REF!</v>
          </cell>
          <cell r="AY196" t="e">
            <v>#REF!</v>
          </cell>
          <cell r="AZ196">
            <v>0</v>
          </cell>
          <cell r="BA196" t="e">
            <v>#REF!</v>
          </cell>
          <cell r="BB196" t="e">
            <v>#REF!</v>
          </cell>
          <cell r="BC196" t="e">
            <v>#REF!</v>
          </cell>
          <cell r="BD196">
            <v>-935</v>
          </cell>
          <cell r="BG196">
            <v>140202</v>
          </cell>
          <cell r="BH196">
            <v>66337</v>
          </cell>
          <cell r="BI196">
            <v>55522.5</v>
          </cell>
          <cell r="BJ196">
            <v>201.66666666666424</v>
          </cell>
          <cell r="BK196">
            <v>0</v>
          </cell>
          <cell r="BN196">
            <v>0</v>
          </cell>
          <cell r="BP196">
            <v>78540</v>
          </cell>
        </row>
        <row r="197">
          <cell r="C197">
            <v>7024</v>
          </cell>
          <cell r="D197" t="str">
            <v>Talbot Specialist School</v>
          </cell>
          <cell r="E197">
            <v>0</v>
          </cell>
          <cell r="F197">
            <v>55</v>
          </cell>
          <cell r="G197">
            <v>0</v>
          </cell>
          <cell r="H197">
            <v>0</v>
          </cell>
          <cell r="I197">
            <v>51425</v>
          </cell>
          <cell r="J197">
            <v>0</v>
          </cell>
          <cell r="K197">
            <v>0</v>
          </cell>
          <cell r="L197">
            <v>51425</v>
          </cell>
          <cell r="M197"/>
          <cell r="N197">
            <v>0</v>
          </cell>
          <cell r="O197">
            <v>0</v>
          </cell>
          <cell r="P197" t="b">
            <v>0</v>
          </cell>
          <cell r="Q197">
            <v>0</v>
          </cell>
          <cell r="R197">
            <v>12</v>
          </cell>
          <cell r="S197">
            <v>1320</v>
          </cell>
          <cell r="T197">
            <v>935</v>
          </cell>
          <cell r="U197">
            <v>51425</v>
          </cell>
          <cell r="V197">
            <v>0</v>
          </cell>
          <cell r="W197">
            <v>55</v>
          </cell>
          <cell r="X197">
            <v>0</v>
          </cell>
          <cell r="Y197">
            <v>0</v>
          </cell>
          <cell r="Z197">
            <v>51425</v>
          </cell>
          <cell r="AA197">
            <v>0</v>
          </cell>
          <cell r="AB197">
            <v>0</v>
          </cell>
          <cell r="AC197">
            <v>12856.25</v>
          </cell>
          <cell r="AD197">
            <v>12856.25</v>
          </cell>
          <cell r="AE197">
            <v>12856.25</v>
          </cell>
          <cell r="AF197">
            <v>12856.25</v>
          </cell>
          <cell r="AG197">
            <v>0</v>
          </cell>
          <cell r="AK197">
            <v>51425</v>
          </cell>
          <cell r="AM197" t="e">
            <v>#REF!</v>
          </cell>
          <cell r="AN197" t="e">
            <v>#REF!</v>
          </cell>
          <cell r="AO197" t="e">
            <v>#REF!</v>
          </cell>
          <cell r="AP197" t="e">
            <v>#REF!</v>
          </cell>
          <cell r="AQ197" t="e">
            <v>#REF!</v>
          </cell>
          <cell r="AR197" t="e">
            <v>#REF!</v>
          </cell>
          <cell r="AS197" t="e">
            <v>#REF!</v>
          </cell>
          <cell r="AT197" t="e">
            <v>#REF!</v>
          </cell>
          <cell r="AV197" t="e">
            <v>#REF!</v>
          </cell>
          <cell r="AW197" t="e">
            <v>#REF!</v>
          </cell>
          <cell r="AX197" t="e">
            <v>#REF!</v>
          </cell>
          <cell r="AY197" t="e">
            <v>#REF!</v>
          </cell>
          <cell r="AZ197">
            <v>0</v>
          </cell>
          <cell r="BA197" t="e">
            <v>#REF!</v>
          </cell>
          <cell r="BB197" t="e">
            <v>#REF!</v>
          </cell>
          <cell r="BC197" t="e">
            <v>#REF!</v>
          </cell>
          <cell r="BD197">
            <v>0</v>
          </cell>
          <cell r="BG197">
            <v>140203</v>
          </cell>
          <cell r="BH197">
            <v>88778</v>
          </cell>
          <cell r="BI197">
            <v>48510</v>
          </cell>
          <cell r="BJ197">
            <v>9941.25</v>
          </cell>
          <cell r="BK197">
            <v>0</v>
          </cell>
          <cell r="BN197">
            <v>0</v>
          </cell>
          <cell r="BP197">
            <v>51425</v>
          </cell>
        </row>
        <row r="198">
          <cell r="C198">
            <v>7013</v>
          </cell>
          <cell r="D198" t="str">
            <v>The Rowan School</v>
          </cell>
          <cell r="E198">
            <v>34</v>
          </cell>
          <cell r="F198">
            <v>0</v>
          </cell>
          <cell r="G198">
            <v>1</v>
          </cell>
          <cell r="H198">
            <v>0</v>
          </cell>
          <cell r="I198">
            <v>44880</v>
          </cell>
          <cell r="J198">
            <v>300</v>
          </cell>
          <cell r="K198">
            <v>0</v>
          </cell>
          <cell r="L198">
            <v>45180</v>
          </cell>
          <cell r="M198"/>
          <cell r="N198">
            <v>0</v>
          </cell>
          <cell r="O198"/>
          <cell r="P198" t="b">
            <v>0</v>
          </cell>
          <cell r="Q198">
            <v>0</v>
          </cell>
          <cell r="R198">
            <v>12</v>
          </cell>
          <cell r="S198">
            <v>1320</v>
          </cell>
          <cell r="T198">
            <v>935</v>
          </cell>
          <cell r="U198">
            <v>45180</v>
          </cell>
          <cell r="V198">
            <v>34</v>
          </cell>
          <cell r="W198">
            <v>0</v>
          </cell>
          <cell r="X198">
            <v>1</v>
          </cell>
          <cell r="Y198">
            <v>0</v>
          </cell>
          <cell r="Z198">
            <v>45180</v>
          </cell>
          <cell r="AA198">
            <v>0</v>
          </cell>
          <cell r="AB198">
            <v>0</v>
          </cell>
          <cell r="AC198">
            <v>11880</v>
          </cell>
          <cell r="AD198">
            <v>11100</v>
          </cell>
          <cell r="AE198">
            <v>11100</v>
          </cell>
          <cell r="AF198">
            <v>11100</v>
          </cell>
          <cell r="AG198">
            <v>0</v>
          </cell>
          <cell r="AK198">
            <v>47520</v>
          </cell>
          <cell r="AM198" t="e">
            <v>#REF!</v>
          </cell>
          <cell r="AN198" t="e">
            <v>#REF!</v>
          </cell>
          <cell r="AO198" t="e">
            <v>#REF!</v>
          </cell>
          <cell r="AP198" t="e">
            <v>#REF!</v>
          </cell>
          <cell r="AQ198" t="e">
            <v>#REF!</v>
          </cell>
          <cell r="AR198" t="e">
            <v>#REF!</v>
          </cell>
          <cell r="AS198" t="e">
            <v>#REF!</v>
          </cell>
          <cell r="AT198" t="e">
            <v>#REF!</v>
          </cell>
          <cell r="AV198" t="e">
            <v>#REF!</v>
          </cell>
          <cell r="AW198" t="e">
            <v>#REF!</v>
          </cell>
          <cell r="AX198" t="e">
            <v>#REF!</v>
          </cell>
          <cell r="AY198" t="e">
            <v>#REF!</v>
          </cell>
          <cell r="AZ198">
            <v>0</v>
          </cell>
          <cell r="BA198" t="e">
            <v>#REF!</v>
          </cell>
          <cell r="BB198" t="e">
            <v>#REF!</v>
          </cell>
          <cell r="BC198" t="e">
            <v>#REF!</v>
          </cell>
          <cell r="BD198">
            <v>0</v>
          </cell>
          <cell r="BG198">
            <v>140204</v>
          </cell>
          <cell r="BH198">
            <v>95024</v>
          </cell>
          <cell r="BI198">
            <v>28710</v>
          </cell>
          <cell r="BJ198">
            <v>-5370</v>
          </cell>
          <cell r="BK198">
            <v>0</v>
          </cell>
          <cell r="BN198">
            <v>0</v>
          </cell>
          <cell r="BP198">
            <v>47520</v>
          </cell>
        </row>
        <row r="199">
          <cell r="C199">
            <v>7026</v>
          </cell>
          <cell r="D199" t="str">
            <v>Woolley Wood School</v>
          </cell>
          <cell r="E199">
            <v>44</v>
          </cell>
          <cell r="F199">
            <v>0</v>
          </cell>
          <cell r="G199">
            <v>0</v>
          </cell>
          <cell r="H199">
            <v>0</v>
          </cell>
          <cell r="I199">
            <v>58080</v>
          </cell>
          <cell r="J199">
            <v>0</v>
          </cell>
          <cell r="K199">
            <v>0</v>
          </cell>
          <cell r="L199">
            <v>58080</v>
          </cell>
          <cell r="M199"/>
          <cell r="N199">
            <v>0</v>
          </cell>
          <cell r="O199">
            <v>0</v>
          </cell>
          <cell r="P199" t="b">
            <v>0</v>
          </cell>
          <cell r="Q199">
            <v>0</v>
          </cell>
          <cell r="R199">
            <v>12</v>
          </cell>
          <cell r="S199">
            <v>1320</v>
          </cell>
          <cell r="T199">
            <v>935</v>
          </cell>
          <cell r="U199">
            <v>58080</v>
          </cell>
          <cell r="V199">
            <v>43</v>
          </cell>
          <cell r="W199">
            <v>0</v>
          </cell>
          <cell r="X199">
            <v>0</v>
          </cell>
          <cell r="Y199">
            <v>0</v>
          </cell>
          <cell r="Z199">
            <v>56760</v>
          </cell>
          <cell r="AA199">
            <v>-1320</v>
          </cell>
          <cell r="AB199">
            <v>-1320</v>
          </cell>
          <cell r="AC199">
            <v>13860</v>
          </cell>
          <cell r="AD199">
            <v>14740</v>
          </cell>
          <cell r="AE199">
            <v>14080</v>
          </cell>
          <cell r="AF199">
            <v>14080</v>
          </cell>
          <cell r="AG199">
            <v>0</v>
          </cell>
          <cell r="AK199">
            <v>55440</v>
          </cell>
          <cell r="AM199" t="e">
            <v>#REF!</v>
          </cell>
          <cell r="AN199" t="e">
            <v>#REF!</v>
          </cell>
          <cell r="AO199" t="e">
            <v>#REF!</v>
          </cell>
          <cell r="AP199" t="e">
            <v>#REF!</v>
          </cell>
          <cell r="AQ199" t="e">
            <v>#REF!</v>
          </cell>
          <cell r="AR199" t="e">
            <v>#REF!</v>
          </cell>
          <cell r="AS199" t="e">
            <v>#REF!</v>
          </cell>
          <cell r="AT199" t="e">
            <v>#REF!</v>
          </cell>
          <cell r="AV199" t="e">
            <v>#REF!</v>
          </cell>
          <cell r="AW199" t="e">
            <v>#REF!</v>
          </cell>
          <cell r="AX199" t="e">
            <v>#REF!</v>
          </cell>
          <cell r="AY199" t="e">
            <v>#REF!</v>
          </cell>
          <cell r="AZ199">
            <v>0</v>
          </cell>
          <cell r="BA199" t="e">
            <v>#REF!</v>
          </cell>
          <cell r="BB199" t="e">
            <v>#REF!</v>
          </cell>
          <cell r="BC199" t="e">
            <v>#REF!</v>
          </cell>
          <cell r="BD199">
            <v>-1320</v>
          </cell>
          <cell r="BG199">
            <v>140205</v>
          </cell>
          <cell r="BH199">
            <v>82125</v>
          </cell>
          <cell r="BI199">
            <v>56101</v>
          </cell>
          <cell r="BJ199">
            <v>13421</v>
          </cell>
          <cell r="BK199">
            <v>0</v>
          </cell>
          <cell r="BN199">
            <v>0</v>
          </cell>
          <cell r="BP199">
            <v>55440</v>
          </cell>
        </row>
        <row r="200">
          <cell r="C200">
            <v>1100</v>
          </cell>
          <cell r="D200" t="str">
            <v>Sheffield Inclusion Centre</v>
          </cell>
          <cell r="E200">
            <v>33.5</v>
          </cell>
          <cell r="F200">
            <v>167.5</v>
          </cell>
          <cell r="G200">
            <v>0</v>
          </cell>
          <cell r="H200">
            <v>0</v>
          </cell>
          <cell r="I200">
            <v>200832.5</v>
          </cell>
          <cell r="J200">
            <v>0</v>
          </cell>
          <cell r="K200">
            <v>0</v>
          </cell>
          <cell r="L200">
            <v>200832.5</v>
          </cell>
          <cell r="M200"/>
          <cell r="N200">
            <v>0</v>
          </cell>
          <cell r="O200">
            <v>0</v>
          </cell>
          <cell r="P200" t="b">
            <v>0</v>
          </cell>
          <cell r="Q200">
            <v>0</v>
          </cell>
          <cell r="R200">
            <v>12</v>
          </cell>
          <cell r="S200">
            <v>1320</v>
          </cell>
          <cell r="T200">
            <v>935</v>
          </cell>
          <cell r="U200">
            <v>200832.5</v>
          </cell>
          <cell r="V200">
            <v>32.5</v>
          </cell>
          <cell r="W200">
            <v>161.5</v>
          </cell>
          <cell r="X200">
            <v>0</v>
          </cell>
          <cell r="Y200">
            <v>0</v>
          </cell>
          <cell r="Z200">
            <v>193902.5</v>
          </cell>
          <cell r="AA200">
            <v>-6930</v>
          </cell>
          <cell r="AB200">
            <v>-6930</v>
          </cell>
          <cell r="AC200">
            <v>46365</v>
          </cell>
          <cell r="AD200">
            <v>51489.166666666664</v>
          </cell>
          <cell r="AE200">
            <v>48024.166666666672</v>
          </cell>
          <cell r="AF200">
            <v>48024.166666666672</v>
          </cell>
          <cell r="AG200">
            <v>0</v>
          </cell>
          <cell r="AK200">
            <v>185460</v>
          </cell>
          <cell r="AM200" t="e">
            <v>#REF!</v>
          </cell>
          <cell r="AN200" t="e">
            <v>#REF!</v>
          </cell>
          <cell r="AO200" t="e">
            <v>#REF!</v>
          </cell>
          <cell r="AP200" t="e">
            <v>#REF!</v>
          </cell>
          <cell r="AQ200" t="e">
            <v>#REF!</v>
          </cell>
          <cell r="AR200" t="e">
            <v>#REF!</v>
          </cell>
          <cell r="AS200" t="e">
            <v>#REF!</v>
          </cell>
          <cell r="AT200" t="e">
            <v>#REF!</v>
          </cell>
          <cell r="AV200" t="e">
            <v>#REF!</v>
          </cell>
          <cell r="AW200" t="e">
            <v>#REF!</v>
          </cell>
          <cell r="AX200" t="e">
            <v>#REF!</v>
          </cell>
          <cell r="AY200" t="e">
            <v>#REF!</v>
          </cell>
          <cell r="AZ200">
            <v>0</v>
          </cell>
          <cell r="BA200" t="e">
            <v>#REF!</v>
          </cell>
          <cell r="BB200" t="e">
            <v>#REF!</v>
          </cell>
          <cell r="BC200" t="e">
            <v>#REF!</v>
          </cell>
          <cell r="BD200">
            <v>-6930</v>
          </cell>
          <cell r="BG200">
            <v>140206</v>
          </cell>
          <cell r="BH200">
            <v>-60626.5</v>
          </cell>
          <cell r="BI200">
            <v>44880</v>
          </cell>
          <cell r="BJ200">
            <v>-100998.33333333331</v>
          </cell>
          <cell r="BK200">
            <v>0</v>
          </cell>
          <cell r="BN200">
            <v>0</v>
          </cell>
          <cell r="BP200">
            <v>185460</v>
          </cell>
        </row>
        <row r="201">
          <cell r="C201">
            <v>33007</v>
          </cell>
          <cell r="D201" t="str">
            <v>Alternative Provision</v>
          </cell>
          <cell r="E201">
            <v>2</v>
          </cell>
          <cell r="F201">
            <v>34</v>
          </cell>
          <cell r="G201">
            <v>0</v>
          </cell>
          <cell r="H201">
            <v>0</v>
          </cell>
          <cell r="I201">
            <v>34430</v>
          </cell>
          <cell r="J201">
            <v>0</v>
          </cell>
          <cell r="K201">
            <v>0</v>
          </cell>
          <cell r="L201">
            <v>34430</v>
          </cell>
          <cell r="M201"/>
          <cell r="N201">
            <v>0</v>
          </cell>
          <cell r="O201">
            <v>0</v>
          </cell>
          <cell r="P201" t="b">
            <v>0</v>
          </cell>
          <cell r="Q201">
            <v>0</v>
          </cell>
          <cell r="R201">
            <v>12</v>
          </cell>
          <cell r="S201">
            <v>1320</v>
          </cell>
          <cell r="T201">
            <v>935</v>
          </cell>
          <cell r="U201">
            <v>34430</v>
          </cell>
          <cell r="V201">
            <v>2</v>
          </cell>
          <cell r="W201">
            <v>30</v>
          </cell>
          <cell r="X201">
            <v>0</v>
          </cell>
          <cell r="Y201">
            <v>0</v>
          </cell>
          <cell r="Z201">
            <v>30690</v>
          </cell>
          <cell r="AA201">
            <v>-3740</v>
          </cell>
          <cell r="AB201" t="e">
            <v>#N/A</v>
          </cell>
          <cell r="AC201"/>
          <cell r="AD201">
            <v>17215</v>
          </cell>
          <cell r="AE201">
            <v>0</v>
          </cell>
          <cell r="AF201">
            <v>13475</v>
          </cell>
          <cell r="AG201">
            <v>0</v>
          </cell>
          <cell r="AK201">
            <v>0</v>
          </cell>
          <cell r="AM201" t="e">
            <v>#REF!</v>
          </cell>
          <cell r="AN201" t="e">
            <v>#REF!</v>
          </cell>
          <cell r="AO201" t="e">
            <v>#REF!</v>
          </cell>
          <cell r="AP201" t="e">
            <v>#REF!</v>
          </cell>
          <cell r="AQ201" t="e">
            <v>#REF!</v>
          </cell>
          <cell r="AR201" t="e">
            <v>#REF!</v>
          </cell>
          <cell r="AS201" t="e">
            <v>#REF!</v>
          </cell>
          <cell r="AT201" t="e">
            <v>#REF!</v>
          </cell>
          <cell r="AV201" t="e">
            <v>#REF!</v>
          </cell>
          <cell r="AW201" t="e">
            <v>#REF!</v>
          </cell>
          <cell r="AX201" t="e">
            <v>#REF!</v>
          </cell>
          <cell r="AY201" t="e">
            <v>#REF!</v>
          </cell>
          <cell r="AZ201">
            <v>0</v>
          </cell>
          <cell r="BA201" t="e">
            <v>#REF!</v>
          </cell>
          <cell r="BB201" t="e">
            <v>#REF!</v>
          </cell>
          <cell r="BC201" t="e">
            <v>#REF!</v>
          </cell>
          <cell r="BD201">
            <v>-3740</v>
          </cell>
          <cell r="BG201">
            <v>140207</v>
          </cell>
          <cell r="BH201">
            <v>105777</v>
          </cell>
          <cell r="BI201">
            <v>25740</v>
          </cell>
          <cell r="BJ201">
            <v>8525</v>
          </cell>
          <cell r="BK201">
            <v>0</v>
          </cell>
          <cell r="BN201">
            <v>0</v>
          </cell>
          <cell r="BP201">
            <v>39875</v>
          </cell>
        </row>
        <row r="202">
          <cell r="I202"/>
          <cell r="J202"/>
          <cell r="K202"/>
          <cell r="L202"/>
          <cell r="M202"/>
          <cell r="O202"/>
          <cell r="P202"/>
          <cell r="U202"/>
          <cell r="V202"/>
          <cell r="W202"/>
          <cell r="X202"/>
          <cell r="Y202"/>
          <cell r="Z202"/>
          <cell r="AA202"/>
          <cell r="AC202"/>
          <cell r="AD202"/>
          <cell r="AE202">
            <v>0</v>
          </cell>
          <cell r="AF202">
            <v>0</v>
          </cell>
          <cell r="AG202">
            <v>0</v>
          </cell>
          <cell r="BI202">
            <v>0</v>
          </cell>
          <cell r="BJ202">
            <v>0</v>
          </cell>
          <cell r="BK202">
            <v>0</v>
          </cell>
          <cell r="BN202">
            <v>0</v>
          </cell>
          <cell r="BP202">
            <v>0</v>
          </cell>
        </row>
        <row r="203">
          <cell r="C203"/>
          <cell r="D203" t="str">
            <v>Total Special/Other</v>
          </cell>
          <cell r="E203">
            <v>229.5</v>
          </cell>
          <cell r="F203">
            <v>540.5</v>
          </cell>
          <cell r="G203">
            <v>1</v>
          </cell>
          <cell r="H203">
            <v>3</v>
          </cell>
          <cell r="I203">
            <v>808307.5</v>
          </cell>
          <cell r="J203">
            <v>300</v>
          </cell>
          <cell r="K203">
            <v>6900</v>
          </cell>
          <cell r="L203">
            <v>815507.5</v>
          </cell>
          <cell r="M203">
            <v>0</v>
          </cell>
          <cell r="O203"/>
          <cell r="P203"/>
          <cell r="Q203"/>
          <cell r="R203">
            <v>969</v>
          </cell>
          <cell r="U203">
            <v>815507.5</v>
          </cell>
          <cell r="V203">
            <v>223.5</v>
          </cell>
          <cell r="W203">
            <v>525.5</v>
          </cell>
          <cell r="X203">
            <v>1</v>
          </cell>
          <cell r="Y203">
            <v>3</v>
          </cell>
          <cell r="Z203">
            <v>793562.5</v>
          </cell>
          <cell r="AA203">
            <v>-21945</v>
          </cell>
          <cell r="AB203"/>
          <cell r="AC203">
            <v>186353.75</v>
          </cell>
          <cell r="AD203">
            <v>215456.25</v>
          </cell>
          <cell r="AE203">
            <v>189138.75</v>
          </cell>
          <cell r="AF203">
            <v>202613.75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745415</v>
          </cell>
          <cell r="AL203">
            <v>0</v>
          </cell>
          <cell r="AM203" t="e">
            <v>#REF!</v>
          </cell>
          <cell r="AN203" t="e">
            <v>#REF!</v>
          </cell>
          <cell r="AO203" t="e">
            <v>#REF!</v>
          </cell>
          <cell r="AP203" t="e">
            <v>#REF!</v>
          </cell>
          <cell r="AQ203" t="e">
            <v>#REF!</v>
          </cell>
          <cell r="AR203" t="e">
            <v>#REF!</v>
          </cell>
          <cell r="AS203" t="e">
            <v>#REF!</v>
          </cell>
          <cell r="AT203" t="e">
            <v>#REF!</v>
          </cell>
          <cell r="AU203">
            <v>0</v>
          </cell>
          <cell r="AV203" t="e">
            <v>#REF!</v>
          </cell>
          <cell r="AW203" t="e">
            <v>#REF!</v>
          </cell>
          <cell r="AX203" t="e">
            <v>#REF!</v>
          </cell>
          <cell r="AY203" t="e">
            <v>#REF!</v>
          </cell>
          <cell r="AZ203">
            <v>0</v>
          </cell>
          <cell r="BA203" t="e">
            <v>#REF!</v>
          </cell>
          <cell r="BB203" t="e">
            <v>#REF!</v>
          </cell>
          <cell r="BC203" t="e">
            <v>#REF!</v>
          </cell>
          <cell r="BD203">
            <v>-21945</v>
          </cell>
          <cell r="BE203">
            <v>0</v>
          </cell>
          <cell r="BF203">
            <v>0</v>
          </cell>
          <cell r="BG203">
            <v>1682418</v>
          </cell>
          <cell r="BH203">
            <v>866910.5</v>
          </cell>
          <cell r="BI203">
            <v>0</v>
          </cell>
          <cell r="BJ203">
            <v>0</v>
          </cell>
          <cell r="BK203">
            <v>0</v>
          </cell>
          <cell r="BN203">
            <v>0</v>
          </cell>
          <cell r="BP203">
            <v>785290</v>
          </cell>
        </row>
        <row r="204">
          <cell r="E204"/>
          <cell r="F204"/>
          <cell r="G204"/>
          <cell r="H204"/>
          <cell r="I204"/>
          <cell r="J204"/>
          <cell r="K204"/>
          <cell r="L204"/>
          <cell r="M204"/>
          <cell r="O204"/>
          <cell r="P204"/>
          <cell r="U204"/>
          <cell r="V204"/>
          <cell r="W204"/>
          <cell r="X204"/>
          <cell r="Y204"/>
          <cell r="Z204"/>
          <cell r="AA204"/>
          <cell r="AC204"/>
          <cell r="AD204"/>
          <cell r="AE204">
            <v>0</v>
          </cell>
          <cell r="AF204">
            <v>0</v>
          </cell>
          <cell r="A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N204">
            <v>0</v>
          </cell>
          <cell r="BP204">
            <v>0</v>
          </cell>
        </row>
        <row r="205">
          <cell r="C205"/>
          <cell r="D205" t="str">
            <v>Total All Schools</v>
          </cell>
          <cell r="E205">
            <v>13731</v>
          </cell>
          <cell r="F205">
            <v>9351</v>
          </cell>
          <cell r="G205">
            <v>127</v>
          </cell>
          <cell r="H205">
            <v>430</v>
          </cell>
          <cell r="I205">
            <v>26868105</v>
          </cell>
          <cell r="J205">
            <v>38100</v>
          </cell>
          <cell r="K205">
            <v>989000</v>
          </cell>
          <cell r="L205">
            <v>27895205</v>
          </cell>
          <cell r="M205">
            <v>0</v>
          </cell>
          <cell r="N205"/>
          <cell r="O205">
            <v>43435</v>
          </cell>
          <cell r="P205">
            <v>0</v>
          </cell>
          <cell r="Q205">
            <v>0</v>
          </cell>
          <cell r="R205">
            <v>1926</v>
          </cell>
          <cell r="S205"/>
          <cell r="T205"/>
          <cell r="U205">
            <v>9940686.25</v>
          </cell>
          <cell r="V205">
            <v>13657</v>
          </cell>
          <cell r="W205">
            <v>9306</v>
          </cell>
          <cell r="X205">
            <v>127</v>
          </cell>
          <cell r="Y205">
            <v>430</v>
          </cell>
          <cell r="Z205">
            <v>9871056.25</v>
          </cell>
          <cell r="AA205">
            <v>-69630</v>
          </cell>
          <cell r="AB205"/>
          <cell r="AC205">
            <v>2364092.5</v>
          </cell>
          <cell r="AD205">
            <v>2552653.333333333</v>
          </cell>
          <cell r="AE205">
            <v>2490237.25</v>
          </cell>
          <cell r="AF205">
            <v>2464073.25</v>
          </cell>
          <cell r="AG205">
            <v>8.3333332091569901E-2</v>
          </cell>
          <cell r="AH205">
            <v>0</v>
          </cell>
          <cell r="AI205">
            <v>0</v>
          </cell>
          <cell r="AJ205">
            <v>0</v>
          </cell>
          <cell r="AK205">
            <v>9456370</v>
          </cell>
          <cell r="AL205">
            <v>0</v>
          </cell>
          <cell r="AM205" t="e">
            <v>#REF!</v>
          </cell>
          <cell r="AN205" t="e">
            <v>#REF!</v>
          </cell>
          <cell r="AO205" t="e">
            <v>#REF!</v>
          </cell>
          <cell r="AP205" t="e">
            <v>#REF!</v>
          </cell>
          <cell r="AQ205" t="e">
            <v>#REF!</v>
          </cell>
          <cell r="AR205" t="e">
            <v>#REF!</v>
          </cell>
          <cell r="AS205" t="e">
            <v>#REF!</v>
          </cell>
          <cell r="AT205" t="e">
            <v>#REF!</v>
          </cell>
          <cell r="AU205">
            <v>0</v>
          </cell>
          <cell r="AV205" t="e">
            <v>#REF!</v>
          </cell>
          <cell r="AW205" t="e">
            <v>#REF!</v>
          </cell>
          <cell r="AX205" t="e">
            <v>#REF!</v>
          </cell>
          <cell r="AY205" t="e">
            <v>#REF!</v>
          </cell>
          <cell r="AZ205" t="e">
            <v>#REF!</v>
          </cell>
          <cell r="BA205" t="e">
            <v>#REF!</v>
          </cell>
          <cell r="BB205" t="e">
            <v>#REF!</v>
          </cell>
          <cell r="BC205" t="e">
            <v>#REF!</v>
          </cell>
          <cell r="BD205">
            <v>-69630</v>
          </cell>
          <cell r="BE205">
            <v>0</v>
          </cell>
          <cell r="BF205">
            <v>0</v>
          </cell>
          <cell r="BG205">
            <v>12824950.5</v>
          </cell>
          <cell r="BH205">
            <v>2884264.25</v>
          </cell>
          <cell r="BI205">
            <v>0</v>
          </cell>
          <cell r="BJ205">
            <v>0</v>
          </cell>
          <cell r="BK205">
            <v>0</v>
          </cell>
          <cell r="BP205">
            <v>26622445.517948877</v>
          </cell>
        </row>
        <row r="206">
          <cell r="C206"/>
          <cell r="D206"/>
          <cell r="E206"/>
          <cell r="F206"/>
          <cell r="I206"/>
          <cell r="L206"/>
          <cell r="M206"/>
          <cell r="O206"/>
          <cell r="P206"/>
          <cell r="Q206"/>
          <cell r="R206"/>
          <cell r="U206"/>
          <cell r="V206"/>
          <cell r="W206"/>
          <cell r="X206"/>
          <cell r="Y206"/>
          <cell r="Z206"/>
          <cell r="AA206"/>
          <cell r="AB206"/>
          <cell r="AC206"/>
          <cell r="AD206">
            <v>4916745.833333333</v>
          </cell>
          <cell r="AE206">
            <v>7406983.083333333</v>
          </cell>
          <cell r="AF206">
            <v>9871056.3333333321</v>
          </cell>
          <cell r="AG206">
            <v>0</v>
          </cell>
          <cell r="BG206">
            <v>0</v>
          </cell>
          <cell r="BH206">
            <v>0</v>
          </cell>
          <cell r="BN206">
            <v>0</v>
          </cell>
          <cell r="BP206">
            <v>0</v>
          </cell>
        </row>
        <row r="207">
          <cell r="C207"/>
          <cell r="D207"/>
          <cell r="E207"/>
          <cell r="F207"/>
          <cell r="I207"/>
          <cell r="L207"/>
          <cell r="M207"/>
          <cell r="O207"/>
          <cell r="P207"/>
          <cell r="Q207"/>
          <cell r="R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>
            <v>0</v>
          </cell>
          <cell r="AF207">
            <v>0</v>
          </cell>
          <cell r="AG207">
            <v>0</v>
          </cell>
          <cell r="BG207">
            <v>0</v>
          </cell>
          <cell r="BH207">
            <v>0</v>
          </cell>
          <cell r="BN207">
            <v>0</v>
          </cell>
          <cell r="BP207">
            <v>0</v>
          </cell>
        </row>
        <row r="208">
          <cell r="C208"/>
          <cell r="D208" t="str">
            <v>Maintained</v>
          </cell>
          <cell r="E208">
            <v>6407</v>
          </cell>
          <cell r="F208">
            <v>895.5</v>
          </cell>
          <cell r="G208">
            <v>48</v>
          </cell>
          <cell r="H208">
            <v>191</v>
          </cell>
          <cell r="I208">
            <v>9294532.5</v>
          </cell>
          <cell r="J208">
            <v>14400</v>
          </cell>
          <cell r="K208">
            <v>439300</v>
          </cell>
          <cell r="L208">
            <v>9748232.5</v>
          </cell>
          <cell r="M208">
            <v>0</v>
          </cell>
          <cell r="N208">
            <v>0</v>
          </cell>
          <cell r="O208"/>
          <cell r="P208"/>
          <cell r="Q208"/>
          <cell r="R208"/>
          <cell r="S208"/>
          <cell r="T208"/>
          <cell r="U208">
            <v>9748232.5</v>
          </cell>
          <cell r="V208">
            <v>6367</v>
          </cell>
          <cell r="W208">
            <v>877.5</v>
          </cell>
          <cell r="X208">
            <v>48</v>
          </cell>
          <cell r="Y208">
            <v>191</v>
          </cell>
          <cell r="Z208">
            <v>9678602.5</v>
          </cell>
          <cell r="AA208">
            <v>-69630</v>
          </cell>
          <cell r="AB208"/>
          <cell r="AC208">
            <v>2296538.75</v>
          </cell>
          <cell r="AD208">
            <v>2489636.2499999995</v>
          </cell>
          <cell r="AE208">
            <v>2428354.2499999995</v>
          </cell>
          <cell r="AF208">
            <v>2464073.2499999995</v>
          </cell>
          <cell r="AG208">
            <v>0</v>
          </cell>
          <cell r="BG208">
            <v>11965780</v>
          </cell>
          <cell r="BH208">
            <v>0</v>
          </cell>
          <cell r="BP208">
            <v>9496245</v>
          </cell>
        </row>
        <row r="209">
          <cell r="C209"/>
          <cell r="D209" t="str">
            <v>Academy</v>
          </cell>
          <cell r="E209">
            <v>7324</v>
          </cell>
          <cell r="F209">
            <v>8455.4999999999982</v>
          </cell>
          <cell r="G209">
            <v>79</v>
          </cell>
          <cell r="H209">
            <v>239</v>
          </cell>
          <cell r="I209">
            <v>17573572.5</v>
          </cell>
          <cell r="J209">
            <v>23700</v>
          </cell>
          <cell r="K209">
            <v>549700</v>
          </cell>
          <cell r="L209">
            <v>18146972.5</v>
          </cell>
          <cell r="M209">
            <v>0</v>
          </cell>
          <cell r="N209">
            <v>0</v>
          </cell>
          <cell r="O209"/>
          <cell r="P209"/>
          <cell r="Q209"/>
          <cell r="R209"/>
          <cell r="S209"/>
          <cell r="T209"/>
          <cell r="U209">
            <v>192453.75</v>
          </cell>
          <cell r="V209">
            <v>7290</v>
          </cell>
          <cell r="W209">
            <v>8428.4999999999982</v>
          </cell>
          <cell r="X209">
            <v>79</v>
          </cell>
          <cell r="Y209">
            <v>239</v>
          </cell>
          <cell r="Z209">
            <v>192453.75</v>
          </cell>
          <cell r="AA209">
            <v>0</v>
          </cell>
          <cell r="AB209"/>
          <cell r="AC209">
            <v>67553.75</v>
          </cell>
          <cell r="AD209">
            <v>63017.083333333336</v>
          </cell>
          <cell r="AE209">
            <v>61883</v>
          </cell>
          <cell r="AF209">
            <v>0</v>
          </cell>
          <cell r="AG209">
            <v>0</v>
          </cell>
          <cell r="BG209">
            <v>394350</v>
          </cell>
          <cell r="BH209">
            <v>0</v>
          </cell>
          <cell r="BN209">
            <v>0</v>
          </cell>
          <cell r="BP209">
            <v>17126200.517948877</v>
          </cell>
        </row>
        <row r="210">
          <cell r="C210"/>
          <cell r="D210"/>
          <cell r="E210">
            <v>13731</v>
          </cell>
          <cell r="F210">
            <v>9350.9999999999982</v>
          </cell>
          <cell r="G210">
            <v>127</v>
          </cell>
          <cell r="H210">
            <v>430</v>
          </cell>
          <cell r="I210">
            <v>26868105</v>
          </cell>
          <cell r="J210">
            <v>38100</v>
          </cell>
          <cell r="K210">
            <v>989000</v>
          </cell>
          <cell r="L210">
            <v>27895205</v>
          </cell>
          <cell r="M210"/>
          <cell r="O210"/>
          <cell r="P210"/>
          <cell r="Q210"/>
          <cell r="R210"/>
          <cell r="U210">
            <v>9940686.25</v>
          </cell>
          <cell r="V210">
            <v>13657</v>
          </cell>
          <cell r="W210">
            <v>9305.9999999999982</v>
          </cell>
          <cell r="X210">
            <v>127</v>
          </cell>
          <cell r="Y210">
            <v>430</v>
          </cell>
          <cell r="Z210">
            <v>9871056.25</v>
          </cell>
          <cell r="AA210">
            <v>-69630</v>
          </cell>
          <cell r="AB210"/>
          <cell r="AC210">
            <v>2364092.5</v>
          </cell>
          <cell r="AD210">
            <v>2552653.333333333</v>
          </cell>
          <cell r="AE210">
            <v>2490237.2499999995</v>
          </cell>
          <cell r="AF210">
            <v>2464073.2499999995</v>
          </cell>
          <cell r="AG210">
            <v>0</v>
          </cell>
          <cell r="BG210">
            <v>12360130</v>
          </cell>
          <cell r="BH210">
            <v>0</v>
          </cell>
          <cell r="BN210">
            <v>0</v>
          </cell>
          <cell r="BP210">
            <v>26622445.517948877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/>
          <cell r="Q211"/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BG211">
            <v>0</v>
          </cell>
          <cell r="BP211">
            <v>0</v>
          </cell>
        </row>
        <row r="212">
          <cell r="Y212" t="str">
            <v>Excl AP</v>
          </cell>
          <cell r="Z212">
            <v>9840366.25</v>
          </cell>
          <cell r="AC212"/>
          <cell r="AD212"/>
          <cell r="AE212">
            <v>0</v>
          </cell>
          <cell r="AF212">
            <v>9871056.3333333321</v>
          </cell>
          <cell r="AG212" t="str">
            <v>Final Allocations</v>
          </cell>
          <cell r="AH212">
            <v>0</v>
          </cell>
          <cell r="BN212">
            <v>0</v>
          </cell>
        </row>
        <row r="213">
          <cell r="C213" t="str">
            <v>check</v>
          </cell>
          <cell r="D213" t="str">
            <v>Total All Schools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Y213" t="str">
            <v>Expenditure</v>
          </cell>
          <cell r="Z213">
            <v>9871056.25</v>
          </cell>
          <cell r="AB213"/>
          <cell r="AC213"/>
          <cell r="AD213"/>
          <cell r="AE213">
            <v>0</v>
          </cell>
          <cell r="AF213">
            <v>0</v>
          </cell>
          <cell r="BG213">
            <v>0</v>
          </cell>
          <cell r="BH213">
            <v>0</v>
          </cell>
          <cell r="BP213">
            <v>0</v>
          </cell>
        </row>
        <row r="214">
          <cell r="C214" t="str">
            <v>less ap</v>
          </cell>
          <cell r="D214"/>
          <cell r="E214"/>
          <cell r="F214"/>
          <cell r="G214"/>
          <cell r="H214"/>
          <cell r="I214"/>
          <cell r="J214" t="str">
            <v>PUPIL PREMIUM</v>
          </cell>
          <cell r="K214"/>
          <cell r="L214"/>
          <cell r="M214"/>
          <cell r="N214"/>
          <cell r="O214"/>
          <cell r="P214"/>
          <cell r="Q214"/>
          <cell r="R214"/>
          <cell r="Y214" t="str">
            <v>Grant</v>
          </cell>
          <cell r="Z214">
            <v>9935207.5</v>
          </cell>
          <cell r="AB214"/>
          <cell r="AC214" t="str">
            <v>Westfield Acad Adj</v>
          </cell>
          <cell r="AD214"/>
          <cell r="AE214" t="str">
            <v>Check to Allocations:</v>
          </cell>
          <cell r="AF214" t="str">
            <v>Actuals</v>
          </cell>
          <cell r="AG214" t="str">
            <v>Var</v>
          </cell>
          <cell r="AH214" t="str">
            <v>Payments:</v>
          </cell>
          <cell r="AI214">
            <v>9871056.3333333321</v>
          </cell>
          <cell r="BG214">
            <v>0</v>
          </cell>
          <cell r="BH214">
            <v>0</v>
          </cell>
          <cell r="BN214">
            <v>0</v>
          </cell>
          <cell r="BP214">
            <v>0</v>
          </cell>
        </row>
        <row r="215">
          <cell r="J215" t="str">
            <v>2018-19</v>
          </cell>
          <cell r="K215"/>
          <cell r="L215"/>
          <cell r="M215"/>
          <cell r="N215" t="str">
            <v>2017-18</v>
          </cell>
          <cell r="O215"/>
          <cell r="P215" t="str">
            <v>£</v>
          </cell>
          <cell r="Y215" t="str">
            <v>Balance</v>
          </cell>
          <cell r="Z215">
            <v>-64151.25</v>
          </cell>
          <cell r="AC215">
            <v>53451.166666667908</v>
          </cell>
          <cell r="AD215" t="str">
            <v>Ever6</v>
          </cell>
          <cell r="AE215">
            <v>9470807.5</v>
          </cell>
          <cell r="AF215">
            <v>9417356.3333333321</v>
          </cell>
          <cell r="AG215">
            <v>57.167023172906852</v>
          </cell>
        </row>
        <row r="216">
          <cell r="E216">
            <v>13201.5</v>
          </cell>
          <cell r="F216">
            <v>0</v>
          </cell>
          <cell r="G216">
            <v>70</v>
          </cell>
          <cell r="H216">
            <v>316</v>
          </cell>
          <cell r="I216" t="str">
            <v>Primary</v>
          </cell>
          <cell r="J216">
            <v>0.65150193375528165</v>
          </cell>
          <cell r="K216"/>
          <cell r="L216">
            <v>18173780</v>
          </cell>
          <cell r="M216">
            <v>0.65728588326332182</v>
          </cell>
          <cell r="N216"/>
          <cell r="O216">
            <v>17949950</v>
          </cell>
          <cell r="P216">
            <v>223830</v>
          </cell>
          <cell r="Q216">
            <v>1.2469672617472472E-2</v>
          </cell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C216">
            <v>1500</v>
          </cell>
          <cell r="AD216" t="str">
            <v>Service</v>
          </cell>
          <cell r="AE216">
            <v>15900</v>
          </cell>
          <cell r="AF216">
            <v>14400</v>
          </cell>
          <cell r="AG216">
            <v>5</v>
          </cell>
          <cell r="AH216">
            <v>2755935</v>
          </cell>
          <cell r="AI216" t="str">
            <v>Qtr 1</v>
          </cell>
          <cell r="AJ216" t="str">
            <v>Jun</v>
          </cell>
          <cell r="BP216">
            <v>0</v>
          </cell>
        </row>
        <row r="217">
          <cell r="E217">
            <v>300</v>
          </cell>
          <cell r="F217">
            <v>8810.5</v>
          </cell>
          <cell r="G217">
            <v>56</v>
          </cell>
          <cell r="H217">
            <v>111</v>
          </cell>
          <cell r="I217" t="str">
            <v>Secondary</v>
          </cell>
          <cell r="J217">
            <v>0.31926338236266766</v>
          </cell>
          <cell r="K217"/>
          <cell r="L217">
            <v>8905917.4999999981</v>
          </cell>
          <cell r="M217">
            <v>0.31334818608272907</v>
          </cell>
          <cell r="N217"/>
          <cell r="O217">
            <v>8557287.5</v>
          </cell>
          <cell r="P217">
            <v>348629.99999999814</v>
          </cell>
          <cell r="Q217">
            <v>4.0740713689939499E-2</v>
          </cell>
          <cell r="R217"/>
          <cell r="S217"/>
          <cell r="T217"/>
          <cell r="U217"/>
          <cell r="V217"/>
          <cell r="W217"/>
          <cell r="X217"/>
          <cell r="Y217"/>
          <cell r="Z217">
            <v>2464073.2499999995</v>
          </cell>
          <cell r="AA217"/>
          <cell r="AC217">
            <v>9200</v>
          </cell>
          <cell r="AD217" t="str">
            <v>Post LAC</v>
          </cell>
          <cell r="AE217">
            <v>448500</v>
          </cell>
          <cell r="AF217">
            <v>439300</v>
          </cell>
          <cell r="AG217">
            <v>4</v>
          </cell>
          <cell r="AH217">
            <v>2755752</v>
          </cell>
          <cell r="AI217" t="str">
            <v>Qtr 2</v>
          </cell>
          <cell r="AJ217" t="str">
            <v>Sep</v>
          </cell>
          <cell r="BP217">
            <v>0</v>
          </cell>
        </row>
        <row r="218">
          <cell r="E218">
            <v>229.5</v>
          </cell>
          <cell r="F218">
            <v>540.5</v>
          </cell>
          <cell r="G218">
            <v>1</v>
          </cell>
          <cell r="H218">
            <v>3</v>
          </cell>
          <cell r="I218" t="str">
            <v>Special/PRU/AP</v>
          </cell>
          <cell r="J218">
            <v>2.9234683882050697E-2</v>
          </cell>
          <cell r="K218"/>
          <cell r="L218">
            <v>815507.5</v>
          </cell>
          <cell r="M218">
            <v>2.9365930653949095E-2</v>
          </cell>
          <cell r="N218"/>
          <cell r="O218">
            <v>801960</v>
          </cell>
          <cell r="P218">
            <v>13547.5</v>
          </cell>
          <cell r="Q218">
            <v>1.6892987181405555E-2</v>
          </cell>
          <cell r="R218"/>
          <cell r="S218"/>
          <cell r="T218"/>
          <cell r="U218"/>
          <cell r="V218"/>
          <cell r="W218"/>
          <cell r="X218"/>
          <cell r="Y218"/>
          <cell r="Z218">
            <v>2528224.4999999995</v>
          </cell>
          <cell r="AA218"/>
          <cell r="AC218">
            <v>64151.166666667908</v>
          </cell>
          <cell r="AD218" t="str">
            <v>Total</v>
          </cell>
          <cell r="AE218">
            <v>9935207.5</v>
          </cell>
          <cell r="AF218">
            <v>9871056.3333333321</v>
          </cell>
          <cell r="AH218">
            <v>2770987</v>
          </cell>
          <cell r="AI218" t="str">
            <v>Qtr 3</v>
          </cell>
          <cell r="AJ218" t="str">
            <v>Dec</v>
          </cell>
          <cell r="BP218">
            <v>0</v>
          </cell>
        </row>
        <row r="219">
          <cell r="D219" t="str">
            <v>Original Numbers</v>
          </cell>
          <cell r="E219">
            <v>13731</v>
          </cell>
          <cell r="F219">
            <v>9351</v>
          </cell>
          <cell r="G219">
            <v>127</v>
          </cell>
          <cell r="H219">
            <v>430</v>
          </cell>
          <cell r="I219"/>
          <cell r="J219">
            <v>1</v>
          </cell>
          <cell r="K219"/>
          <cell r="L219">
            <v>27895205</v>
          </cell>
          <cell r="M219">
            <v>1</v>
          </cell>
          <cell r="N219"/>
          <cell r="O219">
            <v>27309197.5</v>
          </cell>
          <cell r="P219">
            <v>586007.5</v>
          </cell>
          <cell r="Q219">
            <v>2.1458246804945475E-2</v>
          </cell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C219"/>
          <cell r="AD219"/>
          <cell r="AE219">
            <v>0</v>
          </cell>
          <cell r="AF219">
            <v>0</v>
          </cell>
          <cell r="AH219">
            <v>0</v>
          </cell>
          <cell r="AI219" t="str">
            <v>Qtr 4</v>
          </cell>
          <cell r="AJ219" t="str">
            <v>Mar</v>
          </cell>
          <cell r="BP219">
            <v>0</v>
          </cell>
        </row>
        <row r="220">
          <cell r="P220"/>
          <cell r="AC220"/>
          <cell r="AD220"/>
          <cell r="AE220" t="str">
            <v>See acad reconc. Sheet</v>
          </cell>
          <cell r="AF220">
            <v>64151.166666667908</v>
          </cell>
          <cell r="AH220">
            <v>8282674</v>
          </cell>
          <cell r="AI220" t="str">
            <v>Total</v>
          </cell>
        </row>
        <row r="221">
          <cell r="D221" t="str">
            <v>EFA Funded</v>
          </cell>
          <cell r="E221">
            <v>13729</v>
          </cell>
          <cell r="F221">
            <v>9316.9999999999982</v>
          </cell>
          <cell r="G221">
            <v>127</v>
          </cell>
          <cell r="H221">
            <v>430</v>
          </cell>
          <cell r="V221">
            <v>13657</v>
          </cell>
          <cell r="W221">
            <v>9305.9999999999982</v>
          </cell>
          <cell r="X221">
            <v>127</v>
          </cell>
          <cell r="Y221">
            <v>430</v>
          </cell>
          <cell r="Z221">
            <v>23520</v>
          </cell>
          <cell r="AC221"/>
          <cell r="AD221"/>
          <cell r="AE221">
            <v>0</v>
          </cell>
          <cell r="AF221">
            <v>0</v>
          </cell>
        </row>
        <row r="222">
          <cell r="D222" t="str">
            <v>AP</v>
          </cell>
          <cell r="E222">
            <v>2</v>
          </cell>
          <cell r="F222">
            <v>34</v>
          </cell>
          <cell r="G222"/>
          <cell r="H222"/>
          <cell r="K222" t="str">
            <v>£/pup</v>
          </cell>
          <cell r="L222" t="str">
            <v>Pupils</v>
          </cell>
          <cell r="M222" t="str">
            <v>Amount £</v>
          </cell>
          <cell r="N222" t="str">
            <v>£/pup</v>
          </cell>
          <cell r="O222" t="str">
            <v>Pupils</v>
          </cell>
          <cell r="P222" t="str">
            <v>Amount £</v>
          </cell>
          <cell r="Q222" t="str">
            <v>Var £</v>
          </cell>
          <cell r="R222" t="str">
            <v>% Var</v>
          </cell>
          <cell r="S222" t="str">
            <v>Pupils</v>
          </cell>
          <cell r="T222" t="str">
            <v>% Var</v>
          </cell>
          <cell r="V222"/>
          <cell r="W222"/>
          <cell r="X222"/>
          <cell r="Y222"/>
          <cell r="Z222">
            <v>0</v>
          </cell>
          <cell r="AC222"/>
          <cell r="AD222" t="str">
            <v>LAC</v>
          </cell>
          <cell r="AE222">
            <v>1108600</v>
          </cell>
          <cell r="AF222">
            <v>1108600</v>
          </cell>
          <cell r="AH222">
            <v>1588382.3333333321</v>
          </cell>
          <cell r="AI222" t="str">
            <v>Pending</v>
          </cell>
        </row>
        <row r="223">
          <cell r="D223" t="str">
            <v>Total EFA Funded</v>
          </cell>
          <cell r="E223">
            <v>13731</v>
          </cell>
          <cell r="F223">
            <v>9350.9999999999982</v>
          </cell>
          <cell r="G223">
            <v>127</v>
          </cell>
          <cell r="H223">
            <v>430</v>
          </cell>
          <cell r="J223" t="str">
            <v>Ever6 - Pri</v>
          </cell>
          <cell r="K223">
            <v>1320</v>
          </cell>
          <cell r="L223">
            <v>13731</v>
          </cell>
          <cell r="M223">
            <v>18124920</v>
          </cell>
          <cell r="N223">
            <v>1320</v>
          </cell>
          <cell r="O223">
            <v>13590</v>
          </cell>
          <cell r="P223">
            <v>17938800</v>
          </cell>
          <cell r="Q223">
            <v>186120</v>
          </cell>
          <cell r="R223">
            <v>1.0375275938189845E-2</v>
          </cell>
          <cell r="S223">
            <v>141</v>
          </cell>
          <cell r="T223">
            <v>1.0375275938189845E-2</v>
          </cell>
          <cell r="V223">
            <v>13657</v>
          </cell>
          <cell r="W223">
            <v>9305.9999999999982</v>
          </cell>
          <cell r="X223">
            <v>127</v>
          </cell>
          <cell r="Y223">
            <v>430</v>
          </cell>
          <cell r="Z223">
            <v>23520</v>
          </cell>
          <cell r="AC223"/>
          <cell r="AD223" t="str">
            <v>Total Allocation:</v>
          </cell>
          <cell r="AE223">
            <v>11043807.5</v>
          </cell>
          <cell r="AF223">
            <v>10979656.333333332</v>
          </cell>
        </row>
        <row r="224">
          <cell r="D224" t="str">
            <v>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J224" t="str">
            <v>Ever6 - Sec</v>
          </cell>
          <cell r="K224">
            <v>935</v>
          </cell>
          <cell r="L224">
            <v>9350.9999999999982</v>
          </cell>
          <cell r="M224">
            <v>8743184.9999999981</v>
          </cell>
          <cell r="N224">
            <v>935</v>
          </cell>
          <cell r="O224">
            <v>9168.5</v>
          </cell>
          <cell r="P224">
            <v>8572547.5</v>
          </cell>
          <cell r="Q224">
            <v>170637.49999999814</v>
          </cell>
          <cell r="R224">
            <v>1.9905109887113269E-2</v>
          </cell>
          <cell r="S224">
            <v>182.49999999999818</v>
          </cell>
          <cell r="T224">
            <v>1.9905109887113286E-2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C224"/>
          <cell r="AD224"/>
          <cell r="AE224">
            <v>0</v>
          </cell>
          <cell r="AF224" t="str">
            <v>Incl LAC</v>
          </cell>
        </row>
        <row r="225">
          <cell r="D225" t="str">
            <v>Remove Mar Adj (Westfield)</v>
          </cell>
          <cell r="E225"/>
          <cell r="F225">
            <v>65.75</v>
          </cell>
          <cell r="G225">
            <v>1.25</v>
          </cell>
          <cell r="H225">
            <v>1</v>
          </cell>
          <cell r="J225" t="str">
            <v>Service</v>
          </cell>
          <cell r="K225">
            <v>300</v>
          </cell>
          <cell r="L225">
            <v>127</v>
          </cell>
          <cell r="M225">
            <v>38100</v>
          </cell>
          <cell r="N225">
            <v>300</v>
          </cell>
          <cell r="O225">
            <v>113.5</v>
          </cell>
          <cell r="P225">
            <v>34050</v>
          </cell>
          <cell r="Q225">
            <v>4050</v>
          </cell>
          <cell r="R225">
            <v>0.11894273127753303</v>
          </cell>
          <cell r="S225">
            <v>13.5</v>
          </cell>
          <cell r="T225">
            <v>0.11894273127753303</v>
          </cell>
          <cell r="V225"/>
          <cell r="W225"/>
          <cell r="X225"/>
          <cell r="Y225"/>
          <cell r="Z225"/>
          <cell r="AC225"/>
          <cell r="AD225"/>
          <cell r="AE225">
            <v>0</v>
          </cell>
          <cell r="AF225">
            <v>0</v>
          </cell>
        </row>
        <row r="226">
          <cell r="D226" t="str">
            <v>Funded Var</v>
          </cell>
          <cell r="E226">
            <v>13731</v>
          </cell>
          <cell r="F226">
            <v>9285.2499999999982</v>
          </cell>
          <cell r="G226">
            <v>125.75</v>
          </cell>
          <cell r="H226">
            <v>429</v>
          </cell>
          <cell r="J226" t="str">
            <v>Post LAC</v>
          </cell>
          <cell r="K226">
            <v>2300</v>
          </cell>
          <cell r="L226">
            <v>430</v>
          </cell>
          <cell r="M226">
            <v>989000</v>
          </cell>
          <cell r="N226">
            <v>1900</v>
          </cell>
          <cell r="O226">
            <v>402</v>
          </cell>
          <cell r="P226">
            <v>763800</v>
          </cell>
          <cell r="Q226">
            <v>225200</v>
          </cell>
          <cell r="R226">
            <v>0.29484158156585494</v>
          </cell>
          <cell r="S226">
            <v>28</v>
          </cell>
          <cell r="T226">
            <v>6.965174129353234E-2</v>
          </cell>
          <cell r="V226"/>
          <cell r="W226"/>
          <cell r="X226"/>
          <cell r="Y226"/>
          <cell r="Z226"/>
          <cell r="AC226"/>
          <cell r="AD226"/>
          <cell r="AE226">
            <v>0</v>
          </cell>
          <cell r="AF226">
            <v>0</v>
          </cell>
        </row>
        <row r="227">
          <cell r="E227"/>
          <cell r="L227">
            <v>23639</v>
          </cell>
          <cell r="M227">
            <v>27895205</v>
          </cell>
          <cell r="O227">
            <v>23274</v>
          </cell>
          <cell r="P227">
            <v>27309197.5</v>
          </cell>
          <cell r="Q227">
            <v>586007.49999999814</v>
          </cell>
          <cell r="R227">
            <v>2.1458246804945409E-2</v>
          </cell>
          <cell r="S227">
            <v>365</v>
          </cell>
          <cell r="T227">
            <v>1.5682736100369511E-2</v>
          </cell>
          <cell r="V227"/>
          <cell r="W227"/>
          <cell r="X227"/>
          <cell r="Y227"/>
          <cell r="Z227"/>
        </row>
        <row r="228">
          <cell r="D228" t="str">
            <v>Westfield adjustment</v>
          </cell>
          <cell r="E228"/>
          <cell r="F228">
            <v>61476.25</v>
          </cell>
          <cell r="G228">
            <v>375</v>
          </cell>
          <cell r="H228">
            <v>2300</v>
          </cell>
        </row>
        <row r="229">
          <cell r="H229">
            <v>64151.25</v>
          </cell>
        </row>
        <row r="231">
          <cell r="E231">
            <v>43191</v>
          </cell>
          <cell r="F231">
            <v>43555</v>
          </cell>
        </row>
        <row r="232">
          <cell r="F232">
            <v>365</v>
          </cell>
        </row>
        <row r="233">
          <cell r="E233">
            <v>42881</v>
          </cell>
          <cell r="F233"/>
          <cell r="G233">
            <v>42978</v>
          </cell>
        </row>
        <row r="234">
          <cell r="G234">
            <v>98</v>
          </cell>
        </row>
        <row r="235">
          <cell r="G235">
            <v>354.41095890410958</v>
          </cell>
        </row>
      </sheetData>
      <sheetData sheetId="2"/>
      <sheetData sheetId="3">
        <row r="196">
          <cell r="I196">
            <v>26697660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6-17 submitted baselines"/>
      <sheetName val="16-17 submitted HN places"/>
      <sheetName val="Inputs &amp; Adjustments"/>
      <sheetName val="Local Factors"/>
      <sheetName val="Adjusted Factors"/>
      <sheetName val="16-17 final baseline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AA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21-22 submitted baselines"/>
      <sheetName val="21-22 HN places"/>
      <sheetName val="Proposed Free Schools"/>
      <sheetName val="IndicativeNFF NNDR PaidBy ESFA"/>
      <sheetName val="FSM6 update"/>
      <sheetName val="Inputs &amp; Adjustments"/>
      <sheetName val="Local Factors"/>
      <sheetName val="LA estimate of NNDR 22-23"/>
      <sheetName val="Adjusted Factors"/>
      <sheetName val="21-22 final baselines"/>
      <sheetName val="Commentary"/>
      <sheetName val="ProformaAggregation"/>
      <sheetName val="Proforma"/>
      <sheetName val="Block transfers"/>
      <sheetName val="De Delegation"/>
      <sheetName val="Education Functions"/>
      <sheetName val="New ISB"/>
      <sheetName val="School level SB"/>
      <sheetName val="Recoupment"/>
      <sheetName val="Post-16 infrastructure changes"/>
      <sheetName val="Validation sheet"/>
      <sheetName val="202223_P1_APT_373_Sheffield"/>
    </sheetNames>
    <sheetDataSet>
      <sheetData sheetId="0" refreshError="1"/>
      <sheetData sheetId="1">
        <row r="7">
          <cell r="T7" t="str">
            <v>22-23</v>
          </cell>
        </row>
      </sheetData>
      <sheetData sheetId="2">
        <row r="1">
          <cell r="B1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/>
        </row>
      </sheetData>
      <sheetData sheetId="12" refreshError="1"/>
      <sheetData sheetId="13" refreshError="1"/>
      <sheetData sheetId="14" refreshError="1"/>
      <sheetData sheetId="15">
        <row r="14">
          <cell r="E14">
            <v>3412.8685792877927</v>
          </cell>
        </row>
      </sheetData>
      <sheetData sheetId="16" refreshError="1"/>
      <sheetData sheetId="17">
        <row r="8">
          <cell r="X8">
            <v>31.975089439512388</v>
          </cell>
        </row>
      </sheetData>
      <sheetData sheetId="18" refreshError="1"/>
      <sheetData sheetId="19">
        <row r="1">
          <cell r="C1"/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Cover"/>
      <sheetName val="Schools Block Data"/>
      <sheetName val="17-18 submitted baselines"/>
      <sheetName val="17-18 HN places"/>
      <sheetName val="Proposed Free Schools"/>
      <sheetName val="Inputs &amp; Adjustments"/>
      <sheetName val="Local Factors"/>
      <sheetName val="Adjusted Factors"/>
      <sheetName val="17-18 final baselines"/>
      <sheetName val="Commentary"/>
      <sheetName val="Proforma"/>
      <sheetName val="ProformaAggregation"/>
      <sheetName val="De Delegation"/>
      <sheetName val="Education Functions"/>
      <sheetName val="New ISB"/>
      <sheetName val="School level SB"/>
      <sheetName val="Recoupment"/>
      <sheetName val="Validation sheet"/>
      <sheetName val="112753 15Dec2017"/>
    </sheetNames>
    <sheetDataSet>
      <sheetData sheetId="0">
        <row r="20">
          <cell r="E20" t="str">
            <v>2018 to 2019</v>
          </cell>
        </row>
      </sheetData>
      <sheetData sheetId="1">
        <row r="16">
          <cell r="E16" t="str">
            <v>No</v>
          </cell>
        </row>
      </sheetData>
      <sheetData sheetId="2">
        <row r="4">
          <cell r="B4" t="str">
            <v>LAESTAB</v>
          </cell>
        </row>
      </sheetData>
      <sheetData sheetId="3">
        <row r="16">
          <cell r="E16">
            <v>1</v>
          </cell>
        </row>
      </sheetData>
      <sheetData sheetId="4">
        <row r="16">
          <cell r="E16">
            <v>4</v>
          </cell>
        </row>
      </sheetData>
      <sheetData sheetId="5"/>
      <sheetData sheetId="6">
        <row r="5">
          <cell r="BB5" t="str">
            <v>Low Attainment under old EYFSP Proportion 73</v>
          </cell>
        </row>
      </sheetData>
      <sheetData sheetId="7">
        <row r="5">
          <cell r="AA5">
            <v>0</v>
          </cell>
        </row>
      </sheetData>
      <sheetData sheetId="8">
        <row r="1">
          <cell r="E1">
            <v>0</v>
          </cell>
        </row>
      </sheetData>
      <sheetData sheetId="9">
        <row r="16">
          <cell r="E16" t="e">
            <v>#N/A</v>
          </cell>
        </row>
      </sheetData>
      <sheetData sheetId="10"/>
      <sheetData sheetId="11">
        <row r="11">
          <cell r="D11">
            <v>3300</v>
          </cell>
          <cell r="E11">
            <v>0</v>
          </cell>
          <cell r="G11">
            <v>4600</v>
          </cell>
        </row>
        <row r="21">
          <cell r="E21">
            <v>0</v>
          </cell>
          <cell r="F21">
            <v>0</v>
          </cell>
          <cell r="L21">
            <v>0.5</v>
          </cell>
          <cell r="M21">
            <v>0.5</v>
          </cell>
        </row>
        <row r="63">
          <cell r="L63">
            <v>0</v>
          </cell>
        </row>
        <row r="69">
          <cell r="H69">
            <v>5.0000000000000001E-3</v>
          </cell>
        </row>
      </sheetData>
      <sheetData sheetId="12"/>
      <sheetData sheetId="13">
        <row r="8">
          <cell r="X8">
            <v>32.549999999999997</v>
          </cell>
        </row>
        <row r="11">
          <cell r="X11">
            <v>0</v>
          </cell>
          <cell r="Y11">
            <v>0</v>
          </cell>
        </row>
      </sheetData>
      <sheetData sheetId="14">
        <row r="16">
          <cell r="E16">
            <v>357</v>
          </cell>
        </row>
      </sheetData>
      <sheetData sheetId="15">
        <row r="1">
          <cell r="C1">
            <v>0</v>
          </cell>
        </row>
        <row r="5">
          <cell r="AQ5">
            <v>0</v>
          </cell>
          <cell r="BB5">
            <v>0</v>
          </cell>
          <cell r="BC5">
            <v>911587.21332244994</v>
          </cell>
        </row>
      </sheetData>
      <sheetData sheetId="16">
        <row r="16">
          <cell r="E16">
            <v>2843.769256561674</v>
          </cell>
        </row>
      </sheetData>
      <sheetData sheetId="17">
        <row r="16">
          <cell r="E16">
            <v>3732024</v>
          </cell>
        </row>
      </sheetData>
      <sheetData sheetId="18">
        <row r="30">
          <cell r="E30" t="str">
            <v>Pupil numbers checks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1718 HN Data"/>
      <sheetName val="Place Change Notification (PCN)"/>
      <sheetName val="Hospital Ed Funding"/>
      <sheetName val="DCS Declaration"/>
      <sheetName val="Validation Sheet"/>
      <sheetName val="PCN Lookups"/>
    </sheetNames>
    <sheetDataSet>
      <sheetData sheetId="0"/>
      <sheetData sheetId="1">
        <row r="8">
          <cell r="S8">
            <v>4</v>
          </cell>
        </row>
      </sheetData>
      <sheetData sheetId="2"/>
      <sheetData sheetId="3"/>
      <sheetData sheetId="4"/>
      <sheetData sheetId="5"/>
      <sheetData sheetId="6">
        <row r="10">
          <cell r="I10" t="str">
            <v>ACADEMY - AP</v>
          </cell>
          <cell r="J10" t="str">
            <v>ACADEMY - AP</v>
          </cell>
        </row>
        <row r="11">
          <cell r="I11" t="str">
            <v>ACADEMY - MAINSTREAM</v>
          </cell>
          <cell r="J11" t="str">
            <v>ACADEMY - MAINSTREAM</v>
          </cell>
        </row>
        <row r="12">
          <cell r="I12" t="str">
            <v>ACADEMY - SPECIAL</v>
          </cell>
          <cell r="J12" t="str">
            <v>ACADEMY - SPECIAL</v>
          </cell>
        </row>
        <row r="13">
          <cell r="I13" t="str">
            <v>FREE SCHOOL - MAINSTREAM</v>
          </cell>
          <cell r="J13" t="str">
            <v>FREE SCHOOL - AP</v>
          </cell>
        </row>
        <row r="14">
          <cell r="I14" t="str">
            <v>FREE SCHOOL - STUDIO SCHOOL</v>
          </cell>
          <cell r="J14" t="str">
            <v>FREE SCHOOL - MAINSTREAM</v>
          </cell>
        </row>
        <row r="15">
          <cell r="I15" t="str">
            <v>FREE SCHOOL - UTC</v>
          </cell>
          <cell r="J15" t="str">
            <v>FREE SCHOOL - SPECIAL</v>
          </cell>
        </row>
        <row r="16">
          <cell r="I16" t="str">
            <v>FURTHER EDUCATION PROVIDER</v>
          </cell>
          <cell r="J16" t="str">
            <v>FREE SCHOOL - STUDIO SCHOOL</v>
          </cell>
        </row>
        <row r="17">
          <cell r="I17" t="str">
            <v>INDEPENDENT LEARNING PROVIDER</v>
          </cell>
          <cell r="J17" t="str">
            <v>FREE SCHOOL - UTC</v>
          </cell>
        </row>
        <row r="18">
          <cell r="I18" t="str">
            <v>MAINTAINED SCHOOL - MAINSTREAM</v>
          </cell>
          <cell r="J18" t="str">
            <v>FURTHER EDUCATION PROVIDER</v>
          </cell>
        </row>
        <row r="19">
          <cell r="I19" t="str">
            <v>MAINTAINED SPECIAL SCHOOL</v>
          </cell>
          <cell r="J19" t="str">
            <v>MAINTAINED SCHOOL - MAINSTREAM</v>
          </cell>
        </row>
        <row r="20">
          <cell r="I20" t="str">
            <v>MAINTAINED ALTERNATIVE PROVISION (AP) - PRU</v>
          </cell>
          <cell r="J20" t="str">
            <v>MAINTAINED SPECIAL SCHOOL</v>
          </cell>
        </row>
        <row r="21">
          <cell r="I21" t="str">
            <v>SPECIAL POST-16 INSTITUTION</v>
          </cell>
          <cell r="J21" t="str">
            <v>MAINTAINED ALTERNATIVE PROVISION (AP) - PRU</v>
          </cell>
        </row>
        <row r="22">
          <cell r="J22" t="str">
            <v>NON MAINTAINED SPECIAL SCHOOL</v>
          </cell>
        </row>
        <row r="23">
          <cell r="J23" t="str">
            <v>INDEPENDENT LEARNING PROVIDER</v>
          </cell>
        </row>
        <row r="24">
          <cell r="J24" t="str">
            <v>SPECIAL POST-16 INSTITUTION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heff eg."/>
      <sheetName val="Front Page"/>
      <sheetName val="NFF Rates"/>
      <sheetName val="APT Data"/>
      <sheetName val="Factor Values"/>
      <sheetName val="ACA"/>
      <sheetName val="Calcs - ACA values"/>
      <sheetName val="Calcs - New values"/>
      <sheetName val="Calcs - Summary"/>
      <sheetName val="LALookup"/>
    </sheetNames>
    <sheetDataSet>
      <sheetData sheetId="0"/>
      <sheetData sheetId="1"/>
      <sheetData sheetId="2"/>
      <sheetData sheetId="3">
        <row r="7">
          <cell r="M7">
            <v>3412.8685792877927</v>
          </cell>
        </row>
      </sheetData>
      <sheetData sheetId="4"/>
      <sheetData sheetId="5"/>
      <sheetData sheetId="6"/>
      <sheetData sheetId="7"/>
      <sheetData sheetId="8"/>
      <sheetData sheetId="9">
        <row r="6">
          <cell r="F6">
            <v>3123</v>
          </cell>
        </row>
      </sheetData>
      <sheetData sheetId="10">
        <row r="1">
          <cell r="A1">
            <v>201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finhelpdesk@sheffield.gov.u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pageSetUpPr autoPageBreaks="0"/>
  </sheetPr>
  <dimension ref="B2:J17"/>
  <sheetViews>
    <sheetView showGridLines="0" showRowColHeaders="0" tabSelected="1" topLeftCell="A9" zoomScaleNormal="100" workbookViewId="0">
      <selection activeCell="G25" sqref="G25"/>
    </sheetView>
  </sheetViews>
  <sheetFormatPr defaultRowHeight="12.5" x14ac:dyDescent="0.25"/>
  <sheetData>
    <row r="2" spans="2:10" hidden="1" x14ac:dyDescent="0.25"/>
    <row r="3" spans="2:10" hidden="1" x14ac:dyDescent="0.25"/>
    <row r="4" spans="2:10" hidden="1" x14ac:dyDescent="0.25"/>
    <row r="5" spans="2:10" ht="32.5" x14ac:dyDescent="0.65">
      <c r="B5" s="1" t="s">
        <v>272</v>
      </c>
    </row>
    <row r="6" spans="2:10" ht="32.5" x14ac:dyDescent="0.65">
      <c r="B6" s="1" t="s">
        <v>416</v>
      </c>
    </row>
    <row r="7" spans="2:10" ht="32.5" x14ac:dyDescent="0.65">
      <c r="B7" s="1" t="s">
        <v>417</v>
      </c>
    </row>
    <row r="9" spans="2:10" ht="13" thickBot="1" x14ac:dyDescent="0.3"/>
    <row r="10" spans="2:10" ht="42" customHeight="1" thickBot="1" x14ac:dyDescent="0.3">
      <c r="D10" s="753" t="s">
        <v>15</v>
      </c>
      <c r="E10" s="754"/>
      <c r="F10" s="754"/>
      <c r="G10" s="754"/>
      <c r="H10" s="754"/>
      <c r="I10" s="754"/>
      <c r="J10" s="755"/>
    </row>
    <row r="13" spans="2:10" ht="25" x14ac:dyDescent="0.5">
      <c r="B13" s="486" t="s">
        <v>500</v>
      </c>
    </row>
    <row r="14" spans="2:10" ht="22.5" x14ac:dyDescent="0.45">
      <c r="B14" s="485" t="s">
        <v>501</v>
      </c>
    </row>
    <row r="15" spans="2:10" ht="20" x14ac:dyDescent="0.4">
      <c r="B15" s="484" t="s">
        <v>502</v>
      </c>
    </row>
    <row r="17" spans="2:2" ht="23" x14ac:dyDescent="0.5">
      <c r="B17" s="2" t="s">
        <v>499</v>
      </c>
    </row>
  </sheetData>
  <mergeCells count="1">
    <mergeCell ref="D10:J10"/>
  </mergeCells>
  <phoneticPr fontId="26" type="noConversion"/>
  <hyperlinks>
    <hyperlink ref="D10:I10" location="Instructions!C21" tooltip="Select to view school budgets 2009-10" display="Select this link to view budgets" xr:uid="{00000000-0004-0000-0000-000000000000}"/>
    <hyperlink ref="D10:J10" location="Instructions!C17" tooltip="Select to view school budgets" display="Select this link to view budgets" xr:uid="{00000000-0004-0000-0000-000001000000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0B25-0553-4D98-AB08-0876D50EFFDC}">
  <sheetPr codeName="Sheet30"/>
  <dimension ref="A1:H182"/>
  <sheetViews>
    <sheetView topLeftCell="A115" workbookViewId="0">
      <selection activeCell="F1" sqref="F1"/>
    </sheetView>
  </sheetViews>
  <sheetFormatPr defaultColWidth="9.08984375" defaultRowHeight="14.5" x14ac:dyDescent="0.35"/>
  <cols>
    <col min="1" max="2" width="9.08984375" style="599"/>
    <col min="3" max="3" width="9.08984375" style="595"/>
    <col min="4" max="4" width="9.08984375" style="600"/>
    <col min="5" max="5" width="44.36328125" style="601" customWidth="1"/>
    <col min="6" max="6" width="16.54296875" style="601" customWidth="1"/>
    <col min="7" max="7" width="19.453125" style="602" bestFit="1" customWidth="1"/>
    <col min="8" max="8" width="9.08984375" style="595"/>
    <col min="9" max="16384" width="9.08984375" style="202"/>
  </cols>
  <sheetData>
    <row r="1" spans="1:8" ht="25" x14ac:dyDescent="0.5">
      <c r="A1" s="573" t="s">
        <v>415</v>
      </c>
      <c r="B1" s="574"/>
      <c r="C1" s="575"/>
      <c r="D1" s="576"/>
      <c r="E1" s="577" t="s">
        <v>420</v>
      </c>
      <c r="F1" s="578"/>
      <c r="G1" s="579"/>
      <c r="H1" s="575"/>
    </row>
    <row r="2" spans="1:8" x14ac:dyDescent="0.35">
      <c r="A2" s="580"/>
      <c r="B2" s="580"/>
      <c r="C2" s="581"/>
      <c r="D2" s="582"/>
      <c r="E2" s="583"/>
      <c r="F2" s="583"/>
      <c r="G2" s="584"/>
      <c r="H2" s="581"/>
    </row>
    <row r="3" spans="1:8" x14ac:dyDescent="0.35">
      <c r="A3" s="585"/>
      <c r="B3" s="585"/>
      <c r="C3" s="586"/>
      <c r="D3" s="587"/>
      <c r="E3" s="588"/>
      <c r="F3" s="588"/>
      <c r="G3" s="589"/>
      <c r="H3" s="586"/>
    </row>
    <row r="4" spans="1:8" s="146" customFormat="1" x14ac:dyDescent="0.35">
      <c r="A4" s="590" t="s">
        <v>139</v>
      </c>
      <c r="B4" s="590" t="s">
        <v>151</v>
      </c>
      <c r="C4" s="591" t="s">
        <v>140</v>
      </c>
      <c r="D4" s="592" t="s">
        <v>114</v>
      </c>
      <c r="E4" s="593" t="s">
        <v>152</v>
      </c>
      <c r="F4" s="593" t="s">
        <v>141</v>
      </c>
      <c r="G4" s="594" t="s">
        <v>153</v>
      </c>
      <c r="H4" s="591" t="s">
        <v>113</v>
      </c>
    </row>
    <row r="5" spans="1:8" x14ac:dyDescent="0.35">
      <c r="A5" s="728">
        <v>106982</v>
      </c>
      <c r="B5" s="729">
        <v>3732001</v>
      </c>
      <c r="C5" s="729"/>
      <c r="D5" s="730">
        <v>2001</v>
      </c>
      <c r="E5" s="731" t="s">
        <v>85</v>
      </c>
      <c r="F5" s="731" t="s">
        <v>47</v>
      </c>
      <c r="G5" s="732">
        <v>0</v>
      </c>
      <c r="H5" s="595" t="str">
        <f>IF(G5=0,7&amp;D5,6&amp;D5)</f>
        <v>72001</v>
      </c>
    </row>
    <row r="6" spans="1:8" x14ac:dyDescent="0.35">
      <c r="A6" s="728">
        <v>143052</v>
      </c>
      <c r="B6" s="729">
        <v>3732046</v>
      </c>
      <c r="C6" s="729"/>
      <c r="D6" s="730">
        <v>2046</v>
      </c>
      <c r="E6" s="731" t="s">
        <v>280</v>
      </c>
      <c r="F6" s="731" t="s">
        <v>47</v>
      </c>
      <c r="G6" s="732" t="s">
        <v>110</v>
      </c>
      <c r="H6" s="595" t="str">
        <f t="shared" ref="H6:H69" si="0">IF(G6=0,7&amp;D6,6&amp;D6)</f>
        <v>62046</v>
      </c>
    </row>
    <row r="7" spans="1:8" x14ac:dyDescent="0.35">
      <c r="A7" s="728">
        <v>143546</v>
      </c>
      <c r="B7" s="729">
        <v>3732048</v>
      </c>
      <c r="C7" s="729"/>
      <c r="D7" s="730">
        <v>2048</v>
      </c>
      <c r="E7" s="731" t="s">
        <v>281</v>
      </c>
      <c r="F7" s="731" t="s">
        <v>47</v>
      </c>
      <c r="G7" s="732" t="s">
        <v>110</v>
      </c>
      <c r="H7" s="595" t="str">
        <f t="shared" si="0"/>
        <v>62048</v>
      </c>
    </row>
    <row r="8" spans="1:8" x14ac:dyDescent="0.35">
      <c r="A8" s="728">
        <v>107085</v>
      </c>
      <c r="B8" s="729">
        <v>3732342</v>
      </c>
      <c r="C8" s="729"/>
      <c r="D8" s="730">
        <v>2342</v>
      </c>
      <c r="E8" s="731" t="s">
        <v>20</v>
      </c>
      <c r="F8" s="731" t="s">
        <v>47</v>
      </c>
      <c r="G8" s="732">
        <v>0</v>
      </c>
      <c r="H8" s="595" t="str">
        <f t="shared" si="0"/>
        <v>72342</v>
      </c>
    </row>
    <row r="9" spans="1:8" x14ac:dyDescent="0.35">
      <c r="A9" s="728">
        <v>107086</v>
      </c>
      <c r="B9" s="729">
        <v>3732343</v>
      </c>
      <c r="C9" s="729"/>
      <c r="D9" s="730">
        <v>2343</v>
      </c>
      <c r="E9" s="731" t="s">
        <v>21</v>
      </c>
      <c r="F9" s="731" t="s">
        <v>47</v>
      </c>
      <c r="G9" s="732">
        <v>0</v>
      </c>
      <c r="H9" s="595" t="str">
        <f t="shared" si="0"/>
        <v>72343</v>
      </c>
    </row>
    <row r="10" spans="1:8" x14ac:dyDescent="0.35">
      <c r="A10" s="728">
        <v>133994</v>
      </c>
      <c r="B10" s="729">
        <v>3733429</v>
      </c>
      <c r="C10" s="729"/>
      <c r="D10" s="730">
        <v>3429</v>
      </c>
      <c r="E10" s="731" t="s">
        <v>156</v>
      </c>
      <c r="F10" s="731" t="s">
        <v>47</v>
      </c>
      <c r="G10" s="732">
        <v>0</v>
      </c>
      <c r="H10" s="595" t="str">
        <f t="shared" si="0"/>
        <v>73429</v>
      </c>
    </row>
    <row r="11" spans="1:8" x14ac:dyDescent="0.35">
      <c r="A11" s="728">
        <v>107083</v>
      </c>
      <c r="B11" s="729">
        <v>3732340</v>
      </c>
      <c r="C11" s="729"/>
      <c r="D11" s="730">
        <v>2340</v>
      </c>
      <c r="E11" s="731" t="s">
        <v>86</v>
      </c>
      <c r="F11" s="731" t="s">
        <v>47</v>
      </c>
      <c r="G11" s="732">
        <v>0</v>
      </c>
      <c r="H11" s="595" t="str">
        <f t="shared" si="0"/>
        <v>72340</v>
      </c>
    </row>
    <row r="12" spans="1:8" x14ac:dyDescent="0.35">
      <c r="A12" s="728">
        <v>107047</v>
      </c>
      <c r="B12" s="729">
        <v>3732281</v>
      </c>
      <c r="C12" s="729"/>
      <c r="D12" s="730">
        <v>2281</v>
      </c>
      <c r="E12" s="731" t="s">
        <v>22</v>
      </c>
      <c r="F12" s="731" t="s">
        <v>47</v>
      </c>
      <c r="G12" s="732">
        <v>0</v>
      </c>
      <c r="H12" s="595" t="str">
        <f t="shared" si="0"/>
        <v>72281</v>
      </c>
    </row>
    <row r="13" spans="1:8" x14ac:dyDescent="0.35">
      <c r="A13" s="728">
        <v>107066</v>
      </c>
      <c r="B13" s="729">
        <v>3732322</v>
      </c>
      <c r="C13" s="729"/>
      <c r="D13" s="730">
        <v>2322</v>
      </c>
      <c r="E13" s="731" t="s">
        <v>157</v>
      </c>
      <c r="F13" s="731" t="s">
        <v>47</v>
      </c>
      <c r="G13" s="732">
        <v>0</v>
      </c>
      <c r="H13" s="595" t="str">
        <f t="shared" si="0"/>
        <v>72322</v>
      </c>
    </row>
    <row r="14" spans="1:8" x14ac:dyDescent="0.35">
      <c r="A14" s="728">
        <v>142542</v>
      </c>
      <c r="B14" s="729">
        <v>3732274</v>
      </c>
      <c r="C14" s="729"/>
      <c r="D14" s="730">
        <v>2274</v>
      </c>
      <c r="E14" s="731" t="s">
        <v>282</v>
      </c>
      <c r="F14" s="731" t="s">
        <v>47</v>
      </c>
      <c r="G14" s="732" t="s">
        <v>110</v>
      </c>
      <c r="H14" s="595" t="str">
        <f t="shared" si="0"/>
        <v>62274</v>
      </c>
    </row>
    <row r="15" spans="1:8" x14ac:dyDescent="0.35">
      <c r="A15" s="728">
        <v>107036</v>
      </c>
      <c r="B15" s="729">
        <v>3732241</v>
      </c>
      <c r="C15" s="729"/>
      <c r="D15" s="730">
        <v>2241</v>
      </c>
      <c r="E15" s="731" t="s">
        <v>145</v>
      </c>
      <c r="F15" s="731" t="s">
        <v>47</v>
      </c>
      <c r="G15" s="732">
        <v>0</v>
      </c>
      <c r="H15" s="595" t="str">
        <f t="shared" si="0"/>
        <v>72241</v>
      </c>
    </row>
    <row r="16" spans="1:8" x14ac:dyDescent="0.35">
      <c r="A16" s="728">
        <v>143964</v>
      </c>
      <c r="B16" s="729">
        <v>3732353</v>
      </c>
      <c r="C16" s="729"/>
      <c r="D16" s="730">
        <v>2353</v>
      </c>
      <c r="E16" s="731" t="s">
        <v>283</v>
      </c>
      <c r="F16" s="731" t="s">
        <v>47</v>
      </c>
      <c r="G16" s="732" t="s">
        <v>110</v>
      </c>
      <c r="H16" s="595" t="str">
        <f t="shared" si="0"/>
        <v>62353</v>
      </c>
    </row>
    <row r="17" spans="1:8" x14ac:dyDescent="0.35">
      <c r="A17" s="728">
        <v>143965</v>
      </c>
      <c r="B17" s="729">
        <v>3732323</v>
      </c>
      <c r="C17" s="729"/>
      <c r="D17" s="730">
        <v>2323</v>
      </c>
      <c r="E17" s="731" t="s">
        <v>284</v>
      </c>
      <c r="F17" s="731" t="s">
        <v>47</v>
      </c>
      <c r="G17" s="732" t="s">
        <v>110</v>
      </c>
      <c r="H17" s="595" t="str">
        <f t="shared" si="0"/>
        <v>62323</v>
      </c>
    </row>
    <row r="18" spans="1:8" x14ac:dyDescent="0.35">
      <c r="A18" s="728">
        <v>146488</v>
      </c>
      <c r="B18" s="729">
        <v>3732328</v>
      </c>
      <c r="C18" s="729"/>
      <c r="D18" s="730">
        <v>2328</v>
      </c>
      <c r="E18" s="731" t="s">
        <v>158</v>
      </c>
      <c r="F18" s="731" t="s">
        <v>47</v>
      </c>
      <c r="G18" s="732" t="s">
        <v>110</v>
      </c>
      <c r="H18" s="595" t="str">
        <f t="shared" si="0"/>
        <v>62328</v>
      </c>
    </row>
    <row r="19" spans="1:8" x14ac:dyDescent="0.35">
      <c r="A19" s="728">
        <v>107033</v>
      </c>
      <c r="B19" s="729">
        <v>3732233</v>
      </c>
      <c r="C19" s="729"/>
      <c r="D19" s="730">
        <v>2233</v>
      </c>
      <c r="E19" s="731" t="s">
        <v>159</v>
      </c>
      <c r="F19" s="731" t="s">
        <v>47</v>
      </c>
      <c r="G19" s="732">
        <v>0</v>
      </c>
      <c r="H19" s="595" t="str">
        <f t="shared" si="0"/>
        <v>72233</v>
      </c>
    </row>
    <row r="20" spans="1:8" x14ac:dyDescent="0.35">
      <c r="A20" s="728">
        <v>106987</v>
      </c>
      <c r="B20" s="729">
        <v>3732014</v>
      </c>
      <c r="C20" s="729"/>
      <c r="D20" s="730">
        <v>2014</v>
      </c>
      <c r="E20" s="731" t="s">
        <v>23</v>
      </c>
      <c r="F20" s="731" t="s">
        <v>47</v>
      </c>
      <c r="G20" s="732">
        <v>0</v>
      </c>
      <c r="H20" s="595" t="str">
        <f t="shared" si="0"/>
        <v>72014</v>
      </c>
    </row>
    <row r="21" spans="1:8" x14ac:dyDescent="0.35">
      <c r="A21" s="728">
        <v>148100</v>
      </c>
      <c r="B21" s="729">
        <v>3732246</v>
      </c>
      <c r="C21" s="729"/>
      <c r="D21" s="730">
        <v>2246</v>
      </c>
      <c r="E21" s="731" t="s">
        <v>410</v>
      </c>
      <c r="F21" s="731" t="s">
        <v>47</v>
      </c>
      <c r="G21" s="732" t="s">
        <v>110</v>
      </c>
      <c r="H21" s="595" t="str">
        <f t="shared" si="0"/>
        <v>62246</v>
      </c>
    </row>
    <row r="22" spans="1:8" x14ac:dyDescent="0.35">
      <c r="A22" s="728">
        <v>107154</v>
      </c>
      <c r="B22" s="729">
        <v>3735204</v>
      </c>
      <c r="C22" s="729"/>
      <c r="D22" s="730">
        <v>5204</v>
      </c>
      <c r="E22" s="731" t="s">
        <v>88</v>
      </c>
      <c r="F22" s="731" t="s">
        <v>47</v>
      </c>
      <c r="G22" s="732">
        <v>0</v>
      </c>
      <c r="H22" s="595" t="str">
        <f t="shared" si="0"/>
        <v>75204</v>
      </c>
    </row>
    <row r="23" spans="1:8" x14ac:dyDescent="0.35">
      <c r="A23" s="728">
        <v>107069</v>
      </c>
      <c r="B23" s="729">
        <v>3732325</v>
      </c>
      <c r="C23" s="729"/>
      <c r="D23" s="730">
        <v>2325</v>
      </c>
      <c r="E23" s="731" t="s">
        <v>160</v>
      </c>
      <c r="F23" s="731" t="s">
        <v>47</v>
      </c>
      <c r="G23" s="732">
        <v>0</v>
      </c>
      <c r="H23" s="595" t="str">
        <f t="shared" si="0"/>
        <v>72325</v>
      </c>
    </row>
    <row r="24" spans="1:8" x14ac:dyDescent="0.35">
      <c r="A24" s="728">
        <v>143061</v>
      </c>
      <c r="B24" s="729">
        <v>3732095</v>
      </c>
      <c r="C24" s="729"/>
      <c r="D24" s="730">
        <v>2095</v>
      </c>
      <c r="E24" s="731" t="s">
        <v>285</v>
      </c>
      <c r="F24" s="731" t="s">
        <v>47</v>
      </c>
      <c r="G24" s="732" t="s">
        <v>110</v>
      </c>
      <c r="H24" s="595" t="str">
        <f t="shared" si="0"/>
        <v>62095</v>
      </c>
    </row>
    <row r="25" spans="1:8" x14ac:dyDescent="0.35">
      <c r="A25" s="728">
        <v>107087</v>
      </c>
      <c r="B25" s="729">
        <v>3732344</v>
      </c>
      <c r="C25" s="729"/>
      <c r="D25" s="730">
        <v>2344</v>
      </c>
      <c r="E25" s="731" t="s">
        <v>24</v>
      </c>
      <c r="F25" s="731" t="s">
        <v>47</v>
      </c>
      <c r="G25" s="732">
        <v>0</v>
      </c>
      <c r="H25" s="595" t="str">
        <f t="shared" si="0"/>
        <v>72344</v>
      </c>
    </row>
    <row r="26" spans="1:8" x14ac:dyDescent="0.35">
      <c r="A26" s="728">
        <v>106988</v>
      </c>
      <c r="B26" s="729">
        <v>3732023</v>
      </c>
      <c r="C26" s="729"/>
      <c r="D26" s="730">
        <v>2023</v>
      </c>
      <c r="E26" s="731" t="s">
        <v>161</v>
      </c>
      <c r="F26" s="731" t="s">
        <v>47</v>
      </c>
      <c r="G26" s="732">
        <v>0</v>
      </c>
      <c r="H26" s="595" t="str">
        <f t="shared" si="0"/>
        <v>72023</v>
      </c>
    </row>
    <row r="27" spans="1:8" x14ac:dyDescent="0.35">
      <c r="A27" s="728">
        <v>143970</v>
      </c>
      <c r="B27" s="729">
        <v>3732354</v>
      </c>
      <c r="C27" s="729"/>
      <c r="D27" s="730">
        <v>2354</v>
      </c>
      <c r="E27" s="731" t="s">
        <v>286</v>
      </c>
      <c r="F27" s="731" t="s">
        <v>47</v>
      </c>
      <c r="G27" s="732" t="s">
        <v>110</v>
      </c>
      <c r="H27" s="595" t="str">
        <f t="shared" si="0"/>
        <v>62354</v>
      </c>
    </row>
    <row r="28" spans="1:8" x14ac:dyDescent="0.35">
      <c r="A28" s="728">
        <v>107150</v>
      </c>
      <c r="B28" s="729">
        <v>3735200</v>
      </c>
      <c r="C28" s="729"/>
      <c r="D28" s="730">
        <v>5200</v>
      </c>
      <c r="E28" s="731" t="s">
        <v>230</v>
      </c>
      <c r="F28" s="731" t="s">
        <v>47</v>
      </c>
      <c r="G28" s="732">
        <v>0</v>
      </c>
      <c r="H28" s="595" t="str">
        <f t="shared" si="0"/>
        <v>75200</v>
      </c>
    </row>
    <row r="29" spans="1:8" x14ac:dyDescent="0.35">
      <c r="A29" s="728">
        <v>107060</v>
      </c>
      <c r="B29" s="729">
        <v>3732312</v>
      </c>
      <c r="C29" s="729"/>
      <c r="D29" s="730">
        <v>2312</v>
      </c>
      <c r="E29" s="731" t="s">
        <v>162</v>
      </c>
      <c r="F29" s="731" t="s">
        <v>47</v>
      </c>
      <c r="G29" s="732">
        <v>0</v>
      </c>
      <c r="H29" s="595" t="str">
        <f t="shared" si="0"/>
        <v>72312</v>
      </c>
    </row>
    <row r="30" spans="1:8" x14ac:dyDescent="0.35">
      <c r="A30" s="728">
        <v>140609</v>
      </c>
      <c r="B30" s="729">
        <v>3732026</v>
      </c>
      <c r="C30" s="729"/>
      <c r="D30" s="730">
        <v>2026</v>
      </c>
      <c r="E30" s="731" t="s">
        <v>287</v>
      </c>
      <c r="F30" s="731" t="s">
        <v>47</v>
      </c>
      <c r="G30" s="732" t="s">
        <v>110</v>
      </c>
      <c r="H30" s="595" t="str">
        <f t="shared" si="0"/>
        <v>62026</v>
      </c>
    </row>
    <row r="31" spans="1:8" x14ac:dyDescent="0.35">
      <c r="A31" s="728">
        <v>107117</v>
      </c>
      <c r="B31" s="729">
        <v>3733422</v>
      </c>
      <c r="C31" s="729"/>
      <c r="D31" s="730">
        <v>3422</v>
      </c>
      <c r="E31" s="731" t="s">
        <v>163</v>
      </c>
      <c r="F31" s="731" t="s">
        <v>47</v>
      </c>
      <c r="G31" s="732">
        <v>0</v>
      </c>
      <c r="H31" s="595" t="str">
        <f t="shared" si="0"/>
        <v>73422</v>
      </c>
    </row>
    <row r="32" spans="1:8" x14ac:dyDescent="0.35">
      <c r="A32" s="728">
        <v>107048</v>
      </c>
      <c r="B32" s="729">
        <v>3732283</v>
      </c>
      <c r="C32" s="729"/>
      <c r="D32" s="730">
        <v>2283</v>
      </c>
      <c r="E32" s="731" t="s">
        <v>89</v>
      </c>
      <c r="F32" s="731" t="s">
        <v>47</v>
      </c>
      <c r="G32" s="732">
        <v>0</v>
      </c>
      <c r="H32" s="595" t="str">
        <f t="shared" si="0"/>
        <v>72283</v>
      </c>
    </row>
    <row r="33" spans="1:8" x14ac:dyDescent="0.35">
      <c r="A33" s="728">
        <v>107035</v>
      </c>
      <c r="B33" s="729">
        <v>3732239</v>
      </c>
      <c r="C33" s="729"/>
      <c r="D33" s="730">
        <v>2239</v>
      </c>
      <c r="E33" s="731" t="s">
        <v>90</v>
      </c>
      <c r="F33" s="731" t="s">
        <v>47</v>
      </c>
      <c r="G33" s="732">
        <v>0</v>
      </c>
      <c r="H33" s="595" t="str">
        <f t="shared" si="0"/>
        <v>72239</v>
      </c>
    </row>
    <row r="34" spans="1:8" x14ac:dyDescent="0.35">
      <c r="A34" s="728">
        <v>132152</v>
      </c>
      <c r="B34" s="729">
        <v>3732364</v>
      </c>
      <c r="C34" s="729"/>
      <c r="D34" s="730">
        <v>2364</v>
      </c>
      <c r="E34" s="731" t="s">
        <v>91</v>
      </c>
      <c r="F34" s="731" t="s">
        <v>47</v>
      </c>
      <c r="G34" s="732">
        <v>0</v>
      </c>
      <c r="H34" s="595" t="str">
        <f t="shared" si="0"/>
        <v>72364</v>
      </c>
    </row>
    <row r="35" spans="1:8" x14ac:dyDescent="0.35">
      <c r="A35" s="728">
        <v>139932</v>
      </c>
      <c r="B35" s="729">
        <v>3732016</v>
      </c>
      <c r="C35" s="729"/>
      <c r="D35" s="730">
        <v>2016</v>
      </c>
      <c r="E35" s="731" t="s">
        <v>411</v>
      </c>
      <c r="F35" s="731" t="s">
        <v>47</v>
      </c>
      <c r="G35" s="732" t="s">
        <v>110</v>
      </c>
      <c r="H35" s="595" t="str">
        <f t="shared" si="0"/>
        <v>62016</v>
      </c>
    </row>
    <row r="36" spans="1:8" x14ac:dyDescent="0.35">
      <c r="A36" s="728">
        <v>107025</v>
      </c>
      <c r="B36" s="729">
        <v>3732206</v>
      </c>
      <c r="C36" s="729"/>
      <c r="D36" s="730">
        <v>2206</v>
      </c>
      <c r="E36" s="731" t="s">
        <v>369</v>
      </c>
      <c r="F36" s="731" t="s">
        <v>47</v>
      </c>
      <c r="G36" s="732">
        <v>0</v>
      </c>
      <c r="H36" s="595" t="str">
        <f t="shared" si="0"/>
        <v>72206</v>
      </c>
    </row>
    <row r="37" spans="1:8" x14ac:dyDescent="0.35">
      <c r="A37" s="728">
        <v>107001</v>
      </c>
      <c r="B37" s="729">
        <v>3732080</v>
      </c>
      <c r="C37" s="729"/>
      <c r="D37" s="730">
        <v>2080</v>
      </c>
      <c r="E37" s="731" t="s">
        <v>92</v>
      </c>
      <c r="F37" s="731" t="s">
        <v>47</v>
      </c>
      <c r="G37" s="732">
        <v>0</v>
      </c>
      <c r="H37" s="595" t="str">
        <f t="shared" si="0"/>
        <v>72080</v>
      </c>
    </row>
    <row r="38" spans="1:8" x14ac:dyDescent="0.35">
      <c r="A38" s="728">
        <v>140546</v>
      </c>
      <c r="B38" s="729">
        <v>3732024</v>
      </c>
      <c r="C38" s="729"/>
      <c r="D38" s="730">
        <v>2024</v>
      </c>
      <c r="E38" s="731" t="s">
        <v>288</v>
      </c>
      <c r="F38" s="731" t="s">
        <v>47</v>
      </c>
      <c r="G38" s="732" t="s">
        <v>110</v>
      </c>
      <c r="H38" s="595" t="str">
        <f t="shared" si="0"/>
        <v>62024</v>
      </c>
    </row>
    <row r="39" spans="1:8" x14ac:dyDescent="0.35">
      <c r="A39" s="728">
        <v>140826</v>
      </c>
      <c r="B39" s="729">
        <v>3732028</v>
      </c>
      <c r="C39" s="729"/>
      <c r="D39" s="730">
        <v>2028</v>
      </c>
      <c r="E39" s="731" t="s">
        <v>289</v>
      </c>
      <c r="F39" s="731" t="s">
        <v>47</v>
      </c>
      <c r="G39" s="732" t="s">
        <v>110</v>
      </c>
      <c r="H39" s="595" t="str">
        <f t="shared" si="0"/>
        <v>62028</v>
      </c>
    </row>
    <row r="40" spans="1:8" x14ac:dyDescent="0.35">
      <c r="A40" s="728">
        <v>139134</v>
      </c>
      <c r="B40" s="729">
        <v>3732010</v>
      </c>
      <c r="C40" s="729"/>
      <c r="D40" s="730">
        <v>2010</v>
      </c>
      <c r="E40" s="731" t="s">
        <v>164</v>
      </c>
      <c r="F40" s="731" t="s">
        <v>47</v>
      </c>
      <c r="G40" s="732" t="s">
        <v>110</v>
      </c>
      <c r="H40" s="595" t="str">
        <f t="shared" si="0"/>
        <v>62010</v>
      </c>
    </row>
    <row r="41" spans="1:8" x14ac:dyDescent="0.35">
      <c r="A41" s="728">
        <v>106991</v>
      </c>
      <c r="B41" s="729">
        <v>3732036</v>
      </c>
      <c r="C41" s="729"/>
      <c r="D41" s="730">
        <v>2036</v>
      </c>
      <c r="E41" s="731" t="s">
        <v>25</v>
      </c>
      <c r="F41" s="731" t="s">
        <v>47</v>
      </c>
      <c r="G41" s="732">
        <v>0</v>
      </c>
      <c r="H41" s="595" t="str">
        <f t="shared" si="0"/>
        <v>72036</v>
      </c>
    </row>
    <row r="42" spans="1:8" x14ac:dyDescent="0.35">
      <c r="A42" s="728">
        <v>139297</v>
      </c>
      <c r="B42" s="729">
        <v>3732305</v>
      </c>
      <c r="C42" s="729"/>
      <c r="D42" s="730">
        <v>2305</v>
      </c>
      <c r="E42" s="731" t="s">
        <v>290</v>
      </c>
      <c r="F42" s="731" t="s">
        <v>47</v>
      </c>
      <c r="G42" s="732" t="s">
        <v>110</v>
      </c>
      <c r="H42" s="595" t="str">
        <f t="shared" si="0"/>
        <v>62305</v>
      </c>
    </row>
    <row r="43" spans="1:8" x14ac:dyDescent="0.35">
      <c r="A43" s="728">
        <v>145374</v>
      </c>
      <c r="B43" s="729">
        <v>3732341</v>
      </c>
      <c r="C43" s="729"/>
      <c r="D43" s="730">
        <v>2341</v>
      </c>
      <c r="E43" s="731" t="s">
        <v>291</v>
      </c>
      <c r="F43" s="731" t="s">
        <v>47</v>
      </c>
      <c r="G43" s="732" t="s">
        <v>110</v>
      </c>
      <c r="H43" s="595" t="str">
        <f t="shared" si="0"/>
        <v>62341</v>
      </c>
    </row>
    <row r="44" spans="1:8" x14ac:dyDescent="0.35">
      <c r="A44" s="728">
        <v>107051</v>
      </c>
      <c r="B44" s="729">
        <v>3732296</v>
      </c>
      <c r="C44" s="729"/>
      <c r="D44" s="730">
        <v>2296</v>
      </c>
      <c r="E44" s="731" t="s">
        <v>165</v>
      </c>
      <c r="F44" s="731" t="s">
        <v>47</v>
      </c>
      <c r="G44" s="732">
        <v>0</v>
      </c>
      <c r="H44" s="595" t="str">
        <f t="shared" si="0"/>
        <v>72296</v>
      </c>
    </row>
    <row r="45" spans="1:8" x14ac:dyDescent="0.35">
      <c r="A45" s="728">
        <v>107098</v>
      </c>
      <c r="B45" s="729">
        <v>3732356</v>
      </c>
      <c r="C45" s="729"/>
      <c r="D45" s="730">
        <v>2356</v>
      </c>
      <c r="E45" s="731" t="s">
        <v>166</v>
      </c>
      <c r="F45" s="731" t="s">
        <v>47</v>
      </c>
      <c r="G45" s="732">
        <v>0</v>
      </c>
      <c r="H45" s="595" t="str">
        <f t="shared" si="0"/>
        <v>72356</v>
      </c>
    </row>
    <row r="46" spans="1:8" x14ac:dyDescent="0.35">
      <c r="A46" s="728">
        <v>107046</v>
      </c>
      <c r="B46" s="729">
        <v>3732279</v>
      </c>
      <c r="C46" s="729"/>
      <c r="D46" s="730">
        <v>2279</v>
      </c>
      <c r="E46" s="731" t="s">
        <v>93</v>
      </c>
      <c r="F46" s="731" t="s">
        <v>47</v>
      </c>
      <c r="G46" s="732">
        <v>0</v>
      </c>
      <c r="H46" s="595" t="str">
        <f t="shared" si="0"/>
        <v>72279</v>
      </c>
    </row>
    <row r="47" spans="1:8" x14ac:dyDescent="0.35">
      <c r="A47" s="728">
        <v>107038</v>
      </c>
      <c r="B47" s="729">
        <v>3732252</v>
      </c>
      <c r="C47" s="729"/>
      <c r="D47" s="730">
        <v>2252</v>
      </c>
      <c r="E47" s="731" t="s">
        <v>26</v>
      </c>
      <c r="F47" s="731" t="s">
        <v>47</v>
      </c>
      <c r="G47" s="732">
        <v>0</v>
      </c>
      <c r="H47" s="595" t="str">
        <f t="shared" si="0"/>
        <v>72252</v>
      </c>
    </row>
    <row r="48" spans="1:8" x14ac:dyDescent="0.35">
      <c r="A48" s="728">
        <v>142311</v>
      </c>
      <c r="B48" s="729">
        <v>3732357</v>
      </c>
      <c r="C48" s="729"/>
      <c r="D48" s="730">
        <v>2357</v>
      </c>
      <c r="E48" s="731" t="s">
        <v>292</v>
      </c>
      <c r="F48" s="731" t="s">
        <v>47</v>
      </c>
      <c r="G48" s="732" t="s">
        <v>110</v>
      </c>
      <c r="H48" s="595" t="str">
        <f t="shared" si="0"/>
        <v>62357</v>
      </c>
    </row>
    <row r="49" spans="1:8" x14ac:dyDescent="0.35">
      <c r="A49" s="728">
        <v>144482</v>
      </c>
      <c r="B49" s="729">
        <v>3732050</v>
      </c>
      <c r="C49" s="729"/>
      <c r="D49" s="730">
        <v>2050</v>
      </c>
      <c r="E49" s="731" t="s">
        <v>293</v>
      </c>
      <c r="F49" s="731" t="s">
        <v>47</v>
      </c>
      <c r="G49" s="732" t="s">
        <v>110</v>
      </c>
      <c r="H49" s="595" t="str">
        <f t="shared" si="0"/>
        <v>62050</v>
      </c>
    </row>
    <row r="50" spans="1:8" x14ac:dyDescent="0.35">
      <c r="A50" s="728">
        <v>144481</v>
      </c>
      <c r="B50" s="729">
        <v>3732049</v>
      </c>
      <c r="C50" s="729"/>
      <c r="D50" s="730">
        <v>2049</v>
      </c>
      <c r="E50" s="731" t="s">
        <v>294</v>
      </c>
      <c r="F50" s="731" t="s">
        <v>47</v>
      </c>
      <c r="G50" s="732" t="s">
        <v>110</v>
      </c>
      <c r="H50" s="595" t="str">
        <f t="shared" si="0"/>
        <v>62049</v>
      </c>
    </row>
    <row r="51" spans="1:8" x14ac:dyDescent="0.35">
      <c r="A51" s="728">
        <v>107052</v>
      </c>
      <c r="B51" s="729">
        <v>3732297</v>
      </c>
      <c r="C51" s="729"/>
      <c r="D51" s="730">
        <v>2297</v>
      </c>
      <c r="E51" s="731" t="s">
        <v>94</v>
      </c>
      <c r="F51" s="731" t="s">
        <v>47</v>
      </c>
      <c r="G51" s="732">
        <v>0</v>
      </c>
      <c r="H51" s="595" t="str">
        <f t="shared" si="0"/>
        <v>72297</v>
      </c>
    </row>
    <row r="52" spans="1:8" x14ac:dyDescent="0.35">
      <c r="A52" s="728">
        <v>141404</v>
      </c>
      <c r="B52" s="729">
        <v>3732042</v>
      </c>
      <c r="C52" s="729"/>
      <c r="D52" s="730">
        <v>2042</v>
      </c>
      <c r="E52" s="731" t="s">
        <v>295</v>
      </c>
      <c r="F52" s="731" t="s">
        <v>47</v>
      </c>
      <c r="G52" s="732" t="s">
        <v>110</v>
      </c>
      <c r="H52" s="595" t="str">
        <f t="shared" si="0"/>
        <v>62042</v>
      </c>
    </row>
    <row r="53" spans="1:8" x14ac:dyDescent="0.35">
      <c r="A53" s="728">
        <v>141403</v>
      </c>
      <c r="B53" s="729">
        <v>3732039</v>
      </c>
      <c r="C53" s="729"/>
      <c r="D53" s="730">
        <v>2039</v>
      </c>
      <c r="E53" s="731" t="s">
        <v>296</v>
      </c>
      <c r="F53" s="731" t="s">
        <v>47</v>
      </c>
      <c r="G53" s="732" t="s">
        <v>110</v>
      </c>
      <c r="H53" s="595" t="str">
        <f t="shared" si="0"/>
        <v>62039</v>
      </c>
    </row>
    <row r="54" spans="1:8" x14ac:dyDescent="0.35">
      <c r="A54" s="728">
        <v>140310</v>
      </c>
      <c r="B54" s="729">
        <v>3732339</v>
      </c>
      <c r="C54" s="729"/>
      <c r="D54" s="730">
        <v>2339</v>
      </c>
      <c r="E54" s="731" t="s">
        <v>297</v>
      </c>
      <c r="F54" s="731" t="s">
        <v>47</v>
      </c>
      <c r="G54" s="732" t="s">
        <v>110</v>
      </c>
      <c r="H54" s="595" t="str">
        <f t="shared" si="0"/>
        <v>62339</v>
      </c>
    </row>
    <row r="55" spans="1:8" x14ac:dyDescent="0.35">
      <c r="A55" s="728">
        <v>107026</v>
      </c>
      <c r="B55" s="729">
        <v>3732213</v>
      </c>
      <c r="C55" s="729"/>
      <c r="D55" s="730">
        <v>2213</v>
      </c>
      <c r="E55" s="731" t="s">
        <v>167</v>
      </c>
      <c r="F55" s="731" t="s">
        <v>47</v>
      </c>
      <c r="G55" s="732">
        <v>0</v>
      </c>
      <c r="H55" s="595" t="str">
        <f t="shared" si="0"/>
        <v>72213</v>
      </c>
    </row>
    <row r="56" spans="1:8" x14ac:dyDescent="0.35">
      <c r="A56" s="728">
        <v>142663</v>
      </c>
      <c r="B56" s="729">
        <v>3732337</v>
      </c>
      <c r="C56" s="729"/>
      <c r="D56" s="730">
        <v>2337</v>
      </c>
      <c r="E56" s="731" t="s">
        <v>298</v>
      </c>
      <c r="F56" s="731" t="s">
        <v>47</v>
      </c>
      <c r="G56" s="732" t="s">
        <v>110</v>
      </c>
      <c r="H56" s="595" t="str">
        <f t="shared" si="0"/>
        <v>62337</v>
      </c>
    </row>
    <row r="57" spans="1:8" x14ac:dyDescent="0.35">
      <c r="A57" s="728">
        <v>106995</v>
      </c>
      <c r="B57" s="729">
        <v>3732060</v>
      </c>
      <c r="C57" s="729"/>
      <c r="D57" s="730">
        <v>2060</v>
      </c>
      <c r="E57" s="731" t="s">
        <v>95</v>
      </c>
      <c r="F57" s="731" t="s">
        <v>47</v>
      </c>
      <c r="G57" s="732">
        <v>0</v>
      </c>
      <c r="H57" s="595" t="str">
        <f t="shared" si="0"/>
        <v>72060</v>
      </c>
    </row>
    <row r="58" spans="1:8" x14ac:dyDescent="0.35">
      <c r="A58" s="728">
        <v>106994</v>
      </c>
      <c r="B58" s="729">
        <v>3732058</v>
      </c>
      <c r="C58" s="729"/>
      <c r="D58" s="730">
        <v>2058</v>
      </c>
      <c r="E58" s="731" t="s">
        <v>168</v>
      </c>
      <c r="F58" s="731" t="s">
        <v>47</v>
      </c>
      <c r="G58" s="732">
        <v>0</v>
      </c>
      <c r="H58" s="595" t="str">
        <f t="shared" si="0"/>
        <v>72058</v>
      </c>
    </row>
    <row r="59" spans="1:8" x14ac:dyDescent="0.35">
      <c r="A59" s="728">
        <v>106996</v>
      </c>
      <c r="B59" s="729">
        <v>3732063</v>
      </c>
      <c r="C59" s="729"/>
      <c r="D59" s="730">
        <v>2063</v>
      </c>
      <c r="E59" s="731" t="s">
        <v>96</v>
      </c>
      <c r="F59" s="731" t="s">
        <v>47</v>
      </c>
      <c r="G59" s="732">
        <v>0</v>
      </c>
      <c r="H59" s="595" t="str">
        <f t="shared" si="0"/>
        <v>72063</v>
      </c>
    </row>
    <row r="60" spans="1:8" x14ac:dyDescent="0.35">
      <c r="A60" s="728">
        <v>107040</v>
      </c>
      <c r="B60" s="729">
        <v>3732261</v>
      </c>
      <c r="C60" s="729"/>
      <c r="D60" s="730">
        <v>2261</v>
      </c>
      <c r="E60" s="731" t="s">
        <v>97</v>
      </c>
      <c r="F60" s="731" t="s">
        <v>47</v>
      </c>
      <c r="G60" s="732">
        <v>0</v>
      </c>
      <c r="H60" s="595" t="str">
        <f t="shared" si="0"/>
        <v>72261</v>
      </c>
    </row>
    <row r="61" spans="1:8" x14ac:dyDescent="0.35">
      <c r="A61" s="728">
        <v>139862</v>
      </c>
      <c r="B61" s="729">
        <v>3732315</v>
      </c>
      <c r="C61" s="729"/>
      <c r="D61" s="730">
        <v>2315</v>
      </c>
      <c r="E61" s="731" t="s">
        <v>299</v>
      </c>
      <c r="F61" s="731" t="s">
        <v>47</v>
      </c>
      <c r="G61" s="732" t="s">
        <v>110</v>
      </c>
      <c r="H61" s="595" t="str">
        <f t="shared" si="0"/>
        <v>62315</v>
      </c>
    </row>
    <row r="62" spans="1:8" x14ac:dyDescent="0.35">
      <c r="A62" s="728">
        <v>139863</v>
      </c>
      <c r="B62" s="729">
        <v>3732298</v>
      </c>
      <c r="C62" s="729"/>
      <c r="D62" s="730">
        <v>2298</v>
      </c>
      <c r="E62" s="731" t="s">
        <v>300</v>
      </c>
      <c r="F62" s="731" t="s">
        <v>47</v>
      </c>
      <c r="G62" s="732" t="s">
        <v>110</v>
      </c>
      <c r="H62" s="595" t="str">
        <f t="shared" si="0"/>
        <v>62298</v>
      </c>
    </row>
    <row r="63" spans="1:8" x14ac:dyDescent="0.35">
      <c r="A63" s="728">
        <v>141102</v>
      </c>
      <c r="B63" s="729">
        <v>3732029</v>
      </c>
      <c r="C63" s="729"/>
      <c r="D63" s="730">
        <v>2029</v>
      </c>
      <c r="E63" s="731" t="s">
        <v>301</v>
      </c>
      <c r="F63" s="731" t="s">
        <v>47</v>
      </c>
      <c r="G63" s="732" t="s">
        <v>110</v>
      </c>
      <c r="H63" s="595" t="str">
        <f t="shared" si="0"/>
        <v>62029</v>
      </c>
    </row>
    <row r="64" spans="1:8" x14ac:dyDescent="0.35">
      <c r="A64" s="728">
        <v>142937</v>
      </c>
      <c r="B64" s="729">
        <v>3732045</v>
      </c>
      <c r="C64" s="729"/>
      <c r="D64" s="730">
        <v>2045</v>
      </c>
      <c r="E64" s="731" t="s">
        <v>302</v>
      </c>
      <c r="F64" s="731" t="s">
        <v>47</v>
      </c>
      <c r="G64" s="732" t="s">
        <v>110</v>
      </c>
      <c r="H64" s="595" t="str">
        <f t="shared" si="0"/>
        <v>62045</v>
      </c>
    </row>
    <row r="65" spans="1:8" x14ac:dyDescent="0.35">
      <c r="A65" s="728">
        <v>106997</v>
      </c>
      <c r="B65" s="729">
        <v>3732070</v>
      </c>
      <c r="C65" s="729"/>
      <c r="D65" s="730">
        <v>2070</v>
      </c>
      <c r="E65" s="731" t="s">
        <v>169</v>
      </c>
      <c r="F65" s="731" t="s">
        <v>47</v>
      </c>
      <c r="G65" s="732">
        <v>0</v>
      </c>
      <c r="H65" s="595" t="str">
        <f t="shared" si="0"/>
        <v>72070</v>
      </c>
    </row>
    <row r="66" spans="1:8" x14ac:dyDescent="0.35">
      <c r="A66" s="728">
        <v>146405</v>
      </c>
      <c r="B66" s="729">
        <v>3732292</v>
      </c>
      <c r="C66" s="729"/>
      <c r="D66" s="730">
        <v>2292</v>
      </c>
      <c r="E66" s="731" t="s">
        <v>98</v>
      </c>
      <c r="F66" s="731" t="s">
        <v>47</v>
      </c>
      <c r="G66" s="732" t="s">
        <v>110</v>
      </c>
      <c r="H66" s="595" t="str">
        <f t="shared" si="0"/>
        <v>62292</v>
      </c>
    </row>
    <row r="67" spans="1:8" x14ac:dyDescent="0.35">
      <c r="A67" s="728">
        <v>106999</v>
      </c>
      <c r="B67" s="729">
        <v>3732072</v>
      </c>
      <c r="C67" s="729"/>
      <c r="D67" s="730">
        <v>2072</v>
      </c>
      <c r="E67" s="731" t="s">
        <v>99</v>
      </c>
      <c r="F67" s="731" t="s">
        <v>47</v>
      </c>
      <c r="G67" s="732">
        <v>0</v>
      </c>
      <c r="H67" s="595" t="str">
        <f t="shared" si="0"/>
        <v>72072</v>
      </c>
    </row>
    <row r="68" spans="1:8" x14ac:dyDescent="0.35">
      <c r="A68" s="728">
        <v>106998</v>
      </c>
      <c r="B68" s="729">
        <v>3732071</v>
      </c>
      <c r="C68" s="729"/>
      <c r="D68" s="730">
        <v>2071</v>
      </c>
      <c r="E68" s="731" t="s">
        <v>100</v>
      </c>
      <c r="F68" s="731" t="s">
        <v>47</v>
      </c>
      <c r="G68" s="732">
        <v>0</v>
      </c>
      <c r="H68" s="595" t="str">
        <f t="shared" si="0"/>
        <v>72071</v>
      </c>
    </row>
    <row r="69" spans="1:8" x14ac:dyDescent="0.35">
      <c r="A69" s="728">
        <v>148868</v>
      </c>
      <c r="B69" s="729">
        <v>3732358</v>
      </c>
      <c r="C69" s="729"/>
      <c r="D69" s="730">
        <v>2358</v>
      </c>
      <c r="E69" s="731" t="s">
        <v>135</v>
      </c>
      <c r="F69" s="731" t="s">
        <v>47</v>
      </c>
      <c r="G69" s="732" t="s">
        <v>110</v>
      </c>
      <c r="H69" s="595" t="str">
        <f t="shared" si="0"/>
        <v>62358</v>
      </c>
    </row>
    <row r="70" spans="1:8" x14ac:dyDescent="0.35">
      <c r="A70" s="728">
        <v>143799</v>
      </c>
      <c r="B70" s="729">
        <v>3732359</v>
      </c>
      <c r="C70" s="729"/>
      <c r="D70" s="730">
        <v>2359</v>
      </c>
      <c r="E70" s="731" t="s">
        <v>303</v>
      </c>
      <c r="F70" s="731" t="s">
        <v>47</v>
      </c>
      <c r="G70" s="732" t="s">
        <v>110</v>
      </c>
      <c r="H70" s="595" t="str">
        <f t="shared" ref="H70:H132" si="1">IF(G70=0,7&amp;D70,6&amp;D70)</f>
        <v>62359</v>
      </c>
    </row>
    <row r="71" spans="1:8" x14ac:dyDescent="0.35">
      <c r="A71" s="728">
        <v>139137</v>
      </c>
      <c r="B71" s="729">
        <v>3732012</v>
      </c>
      <c r="C71" s="729"/>
      <c r="D71" s="730">
        <v>2012</v>
      </c>
      <c r="E71" s="731" t="s">
        <v>304</v>
      </c>
      <c r="F71" s="731" t="s">
        <v>47</v>
      </c>
      <c r="G71" s="732" t="s">
        <v>110</v>
      </c>
      <c r="H71" s="595" t="str">
        <f t="shared" si="1"/>
        <v>62012</v>
      </c>
    </row>
    <row r="72" spans="1:8" x14ac:dyDescent="0.35">
      <c r="A72" s="728">
        <v>107000</v>
      </c>
      <c r="B72" s="729">
        <v>3732079</v>
      </c>
      <c r="C72" s="729"/>
      <c r="D72" s="730">
        <v>2079</v>
      </c>
      <c r="E72" s="731" t="s">
        <v>170</v>
      </c>
      <c r="F72" s="731" t="s">
        <v>47</v>
      </c>
      <c r="G72" s="732">
        <v>0</v>
      </c>
      <c r="H72" s="595" t="str">
        <f t="shared" si="1"/>
        <v>72079</v>
      </c>
    </row>
    <row r="73" spans="1:8" x14ac:dyDescent="0.35">
      <c r="A73" s="728">
        <v>107002</v>
      </c>
      <c r="B73" s="729">
        <v>3732081</v>
      </c>
      <c r="C73" s="729"/>
      <c r="D73" s="730">
        <v>2081</v>
      </c>
      <c r="E73" s="731" t="s">
        <v>27</v>
      </c>
      <c r="F73" s="731" t="s">
        <v>47</v>
      </c>
      <c r="G73" s="732">
        <v>0</v>
      </c>
      <c r="H73" s="595" t="str">
        <f t="shared" si="1"/>
        <v>72081</v>
      </c>
    </row>
    <row r="74" spans="1:8" x14ac:dyDescent="0.35">
      <c r="A74" s="728">
        <v>139336</v>
      </c>
      <c r="B74" s="729">
        <v>3732013</v>
      </c>
      <c r="C74" s="729"/>
      <c r="D74" s="730">
        <v>2013</v>
      </c>
      <c r="E74" s="731" t="s">
        <v>305</v>
      </c>
      <c r="F74" s="731" t="s">
        <v>47</v>
      </c>
      <c r="G74" s="732" t="s">
        <v>110</v>
      </c>
      <c r="H74" s="595" t="str">
        <f t="shared" si="1"/>
        <v>62013</v>
      </c>
    </row>
    <row r="75" spans="1:8" x14ac:dyDescent="0.35">
      <c r="A75" s="728">
        <v>139544</v>
      </c>
      <c r="B75" s="729">
        <v>3732346</v>
      </c>
      <c r="C75" s="729"/>
      <c r="D75" s="730">
        <v>2346</v>
      </c>
      <c r="E75" s="731" t="s">
        <v>306</v>
      </c>
      <c r="F75" s="731" t="s">
        <v>47</v>
      </c>
      <c r="G75" s="732" t="s">
        <v>110</v>
      </c>
      <c r="H75" s="595" t="str">
        <f t="shared" si="1"/>
        <v>62346</v>
      </c>
    </row>
    <row r="76" spans="1:8" x14ac:dyDescent="0.35">
      <c r="A76" s="728">
        <v>107039</v>
      </c>
      <c r="B76" s="729">
        <v>3732257</v>
      </c>
      <c r="C76" s="729"/>
      <c r="D76" s="730">
        <v>2257</v>
      </c>
      <c r="E76" s="731" t="s">
        <v>101</v>
      </c>
      <c r="F76" s="731" t="s">
        <v>47</v>
      </c>
      <c r="G76" s="732">
        <v>0</v>
      </c>
      <c r="H76" s="595" t="str">
        <f t="shared" si="1"/>
        <v>72257</v>
      </c>
    </row>
    <row r="77" spans="1:8" x14ac:dyDescent="0.35">
      <c r="A77" s="728">
        <v>107006</v>
      </c>
      <c r="B77" s="729">
        <v>3732092</v>
      </c>
      <c r="C77" s="729"/>
      <c r="D77" s="730">
        <v>2092</v>
      </c>
      <c r="E77" s="731" t="s">
        <v>102</v>
      </c>
      <c r="F77" s="731" t="s">
        <v>47</v>
      </c>
      <c r="G77" s="732">
        <v>0</v>
      </c>
      <c r="H77" s="595" t="str">
        <f t="shared" si="1"/>
        <v>72092</v>
      </c>
    </row>
    <row r="78" spans="1:8" x14ac:dyDescent="0.35">
      <c r="A78" s="728">
        <v>142274</v>
      </c>
      <c r="B78" s="729">
        <v>3732002</v>
      </c>
      <c r="C78" s="729"/>
      <c r="D78" s="730">
        <v>2002</v>
      </c>
      <c r="E78" s="731" t="s">
        <v>307</v>
      </c>
      <c r="F78" s="731" t="s">
        <v>47</v>
      </c>
      <c r="G78" s="732" t="s">
        <v>110</v>
      </c>
      <c r="H78" s="595" t="str">
        <f t="shared" si="1"/>
        <v>62002</v>
      </c>
    </row>
    <row r="79" spans="1:8" x14ac:dyDescent="0.35">
      <c r="A79" s="728">
        <v>107029</v>
      </c>
      <c r="B79" s="729">
        <v>3732221</v>
      </c>
      <c r="C79" s="729"/>
      <c r="D79" s="730">
        <v>2221</v>
      </c>
      <c r="E79" s="731" t="s">
        <v>103</v>
      </c>
      <c r="F79" s="731" t="s">
        <v>47</v>
      </c>
      <c r="G79" s="732">
        <v>0</v>
      </c>
      <c r="H79" s="595" t="str">
        <f t="shared" si="1"/>
        <v>72221</v>
      </c>
    </row>
    <row r="80" spans="1:8" x14ac:dyDescent="0.35">
      <c r="A80" s="728">
        <v>107004</v>
      </c>
      <c r="B80" s="729">
        <v>3732087</v>
      </c>
      <c r="C80" s="729"/>
      <c r="D80" s="730">
        <v>2087</v>
      </c>
      <c r="E80" s="731" t="s">
        <v>104</v>
      </c>
      <c r="F80" s="731" t="s">
        <v>47</v>
      </c>
      <c r="G80" s="732">
        <v>0</v>
      </c>
      <c r="H80" s="595" t="str">
        <f t="shared" si="1"/>
        <v>72087</v>
      </c>
    </row>
    <row r="81" spans="1:8" x14ac:dyDescent="0.35">
      <c r="A81" s="728">
        <v>107043</v>
      </c>
      <c r="B81" s="729">
        <v>3732272</v>
      </c>
      <c r="C81" s="729"/>
      <c r="D81" s="730">
        <v>2272</v>
      </c>
      <c r="E81" s="731" t="s">
        <v>28</v>
      </c>
      <c r="F81" s="731" t="s">
        <v>47</v>
      </c>
      <c r="G81" s="732">
        <v>0</v>
      </c>
      <c r="H81" s="595" t="str">
        <f t="shared" si="1"/>
        <v>72272</v>
      </c>
    </row>
    <row r="82" spans="1:8" x14ac:dyDescent="0.35">
      <c r="A82" s="728">
        <v>146012</v>
      </c>
      <c r="B82" s="729">
        <v>3732309</v>
      </c>
      <c r="C82" s="729"/>
      <c r="D82" s="730">
        <v>2309</v>
      </c>
      <c r="E82" s="731" t="s">
        <v>105</v>
      </c>
      <c r="F82" s="731" t="s">
        <v>47</v>
      </c>
      <c r="G82" s="732" t="s">
        <v>110</v>
      </c>
      <c r="H82" s="595" t="str">
        <f t="shared" si="1"/>
        <v>62309</v>
      </c>
    </row>
    <row r="83" spans="1:8" x14ac:dyDescent="0.35">
      <c r="A83" s="728">
        <v>145413</v>
      </c>
      <c r="B83" s="729">
        <v>3732051</v>
      </c>
      <c r="C83" s="729"/>
      <c r="D83" s="730">
        <v>2051</v>
      </c>
      <c r="E83" s="731" t="s">
        <v>308</v>
      </c>
      <c r="F83" s="731" t="s">
        <v>47</v>
      </c>
      <c r="G83" s="732" t="s">
        <v>110</v>
      </c>
      <c r="H83" s="595" t="str">
        <f t="shared" si="1"/>
        <v>62051</v>
      </c>
    </row>
    <row r="84" spans="1:8" x14ac:dyDescent="0.35">
      <c r="A84" s="728">
        <v>107106</v>
      </c>
      <c r="B84" s="729">
        <v>3733010</v>
      </c>
      <c r="C84" s="729"/>
      <c r="D84" s="730">
        <v>3010</v>
      </c>
      <c r="E84" s="731" t="s">
        <v>171</v>
      </c>
      <c r="F84" s="731" t="s">
        <v>47</v>
      </c>
      <c r="G84" s="732">
        <v>0</v>
      </c>
      <c r="H84" s="595" t="str">
        <f t="shared" si="1"/>
        <v>73010</v>
      </c>
    </row>
    <row r="85" spans="1:8" x14ac:dyDescent="0.35">
      <c r="A85" s="728">
        <v>140218</v>
      </c>
      <c r="B85" s="729">
        <v>3732018</v>
      </c>
      <c r="C85" s="729"/>
      <c r="D85" s="730">
        <v>2018</v>
      </c>
      <c r="E85" s="731" t="s">
        <v>309</v>
      </c>
      <c r="F85" s="731" t="s">
        <v>47</v>
      </c>
      <c r="G85" s="732" t="s">
        <v>110</v>
      </c>
      <c r="H85" s="595" t="str">
        <f t="shared" si="1"/>
        <v>62018</v>
      </c>
    </row>
    <row r="86" spans="1:8" x14ac:dyDescent="0.35">
      <c r="A86" s="728">
        <v>140219</v>
      </c>
      <c r="B86" s="729">
        <v>3732019</v>
      </c>
      <c r="C86" s="729"/>
      <c r="D86" s="730">
        <v>2019</v>
      </c>
      <c r="E86" s="731" t="s">
        <v>310</v>
      </c>
      <c r="F86" s="731" t="s">
        <v>47</v>
      </c>
      <c r="G86" s="732" t="s">
        <v>110</v>
      </c>
      <c r="H86" s="595" t="str">
        <f t="shared" si="1"/>
        <v>62019</v>
      </c>
    </row>
    <row r="87" spans="1:8" x14ac:dyDescent="0.35">
      <c r="A87" s="728">
        <v>145832</v>
      </c>
      <c r="B87" s="729">
        <v>3732313</v>
      </c>
      <c r="C87" s="729"/>
      <c r="D87" s="730">
        <v>2313</v>
      </c>
      <c r="E87" s="731" t="s">
        <v>172</v>
      </c>
      <c r="F87" s="731" t="s">
        <v>47</v>
      </c>
      <c r="G87" s="732" t="s">
        <v>110</v>
      </c>
      <c r="H87" s="595" t="str">
        <f t="shared" si="1"/>
        <v>62313</v>
      </c>
    </row>
    <row r="88" spans="1:8" x14ac:dyDescent="0.35">
      <c r="A88" s="728">
        <v>147622</v>
      </c>
      <c r="B88" s="729">
        <v>3732093</v>
      </c>
      <c r="C88" s="729"/>
      <c r="D88" s="730">
        <v>2093</v>
      </c>
      <c r="E88" s="731" t="s">
        <v>173</v>
      </c>
      <c r="F88" s="731" t="s">
        <v>47</v>
      </c>
      <c r="G88" s="732" t="s">
        <v>110</v>
      </c>
      <c r="H88" s="595" t="str">
        <f t="shared" si="1"/>
        <v>62093</v>
      </c>
    </row>
    <row r="89" spans="1:8" x14ac:dyDescent="0.35">
      <c r="A89" s="728">
        <v>107107</v>
      </c>
      <c r="B89" s="729">
        <v>3733428</v>
      </c>
      <c r="C89" s="729"/>
      <c r="D89" s="730">
        <v>3428</v>
      </c>
      <c r="E89" s="731" t="s">
        <v>174</v>
      </c>
      <c r="F89" s="731" t="s">
        <v>47</v>
      </c>
      <c r="G89" s="732">
        <v>0</v>
      </c>
      <c r="H89" s="595" t="str">
        <f t="shared" si="1"/>
        <v>73428</v>
      </c>
    </row>
    <row r="90" spans="1:8" x14ac:dyDescent="0.35">
      <c r="A90" s="728">
        <v>143798</v>
      </c>
      <c r="B90" s="729">
        <v>3732332</v>
      </c>
      <c r="C90" s="729"/>
      <c r="D90" s="730">
        <v>2332</v>
      </c>
      <c r="E90" s="731" t="s">
        <v>311</v>
      </c>
      <c r="F90" s="731" t="s">
        <v>47</v>
      </c>
      <c r="G90" s="732" t="s">
        <v>110</v>
      </c>
      <c r="H90" s="595" t="str">
        <f t="shared" si="1"/>
        <v>62332</v>
      </c>
    </row>
    <row r="91" spans="1:8" x14ac:dyDescent="0.35">
      <c r="A91" s="728">
        <v>134751</v>
      </c>
      <c r="B91" s="729">
        <v>3733433</v>
      </c>
      <c r="C91" s="729"/>
      <c r="D91" s="730">
        <v>3433</v>
      </c>
      <c r="E91" s="731" t="s">
        <v>29</v>
      </c>
      <c r="F91" s="731" t="s">
        <v>47</v>
      </c>
      <c r="G91" s="732">
        <v>0</v>
      </c>
      <c r="H91" s="595" t="str">
        <f t="shared" si="1"/>
        <v>73433</v>
      </c>
    </row>
    <row r="92" spans="1:8" x14ac:dyDescent="0.35">
      <c r="A92" s="728">
        <v>139986</v>
      </c>
      <c r="B92" s="729">
        <v>3733427</v>
      </c>
      <c r="C92" s="729"/>
      <c r="D92" s="730">
        <v>3427</v>
      </c>
      <c r="E92" s="731" t="s">
        <v>312</v>
      </c>
      <c r="F92" s="731" t="s">
        <v>47</v>
      </c>
      <c r="G92" s="732" t="s">
        <v>110</v>
      </c>
      <c r="H92" s="595" t="str">
        <f t="shared" si="1"/>
        <v>63427</v>
      </c>
    </row>
    <row r="93" spans="1:8" x14ac:dyDescent="0.35">
      <c r="A93" s="728">
        <v>107090</v>
      </c>
      <c r="B93" s="729">
        <v>3732347</v>
      </c>
      <c r="C93" s="729"/>
      <c r="D93" s="730">
        <v>2347</v>
      </c>
      <c r="E93" s="731" t="s">
        <v>30</v>
      </c>
      <c r="F93" s="731" t="s">
        <v>47</v>
      </c>
      <c r="G93" s="732">
        <v>0</v>
      </c>
      <c r="H93" s="595" t="str">
        <f t="shared" si="1"/>
        <v>72347</v>
      </c>
    </row>
    <row r="94" spans="1:8" x14ac:dyDescent="0.35">
      <c r="A94" s="728">
        <v>146841</v>
      </c>
      <c r="B94" s="729">
        <v>3732366</v>
      </c>
      <c r="C94" s="729"/>
      <c r="D94" s="730">
        <v>2366</v>
      </c>
      <c r="E94" s="731" t="s">
        <v>106</v>
      </c>
      <c r="F94" s="731" t="s">
        <v>47</v>
      </c>
      <c r="G94" s="732" t="s">
        <v>110</v>
      </c>
      <c r="H94" s="595" t="str">
        <f t="shared" si="1"/>
        <v>62366</v>
      </c>
    </row>
    <row r="95" spans="1:8" x14ac:dyDescent="0.35">
      <c r="A95" s="728">
        <v>143997</v>
      </c>
      <c r="B95" s="729">
        <v>3732363</v>
      </c>
      <c r="C95" s="729"/>
      <c r="D95" s="730">
        <v>2363</v>
      </c>
      <c r="E95" s="731" t="s">
        <v>313</v>
      </c>
      <c r="F95" s="731" t="s">
        <v>47</v>
      </c>
      <c r="G95" s="732" t="s">
        <v>110</v>
      </c>
      <c r="H95" s="595" t="str">
        <f t="shared" si="1"/>
        <v>62363</v>
      </c>
    </row>
    <row r="96" spans="1:8" x14ac:dyDescent="0.35">
      <c r="A96" s="728">
        <v>107077</v>
      </c>
      <c r="B96" s="729">
        <v>3732334</v>
      </c>
      <c r="C96" s="729"/>
      <c r="D96" s="730">
        <v>2334</v>
      </c>
      <c r="E96" s="731" t="s">
        <v>31</v>
      </c>
      <c r="F96" s="731" t="s">
        <v>47</v>
      </c>
      <c r="G96" s="732">
        <v>0</v>
      </c>
      <c r="H96" s="595" t="str">
        <f t="shared" si="1"/>
        <v>72334</v>
      </c>
    </row>
    <row r="97" spans="1:8" x14ac:dyDescent="0.35">
      <c r="A97" s="728">
        <v>107081</v>
      </c>
      <c r="B97" s="729">
        <v>3732338</v>
      </c>
      <c r="C97" s="729"/>
      <c r="D97" s="730">
        <v>2338</v>
      </c>
      <c r="E97" s="731" t="s">
        <v>32</v>
      </c>
      <c r="F97" s="731" t="s">
        <v>47</v>
      </c>
      <c r="G97" s="732">
        <v>0</v>
      </c>
      <c r="H97" s="595" t="str">
        <f t="shared" si="1"/>
        <v>72338</v>
      </c>
    </row>
    <row r="98" spans="1:8" x14ac:dyDescent="0.35">
      <c r="A98" s="728">
        <v>107057</v>
      </c>
      <c r="B98" s="729">
        <v>3732306</v>
      </c>
      <c r="C98" s="729"/>
      <c r="D98" s="730">
        <v>2306</v>
      </c>
      <c r="E98" s="731" t="s">
        <v>175</v>
      </c>
      <c r="F98" s="731" t="s">
        <v>47</v>
      </c>
      <c r="G98" s="732">
        <v>0</v>
      </c>
      <c r="H98" s="595" t="str">
        <f t="shared" si="1"/>
        <v>72306</v>
      </c>
    </row>
    <row r="99" spans="1:8" x14ac:dyDescent="0.35">
      <c r="A99" s="728">
        <v>140439</v>
      </c>
      <c r="B99" s="729">
        <v>3733401</v>
      </c>
      <c r="C99" s="729"/>
      <c r="D99" s="730">
        <v>3401</v>
      </c>
      <c r="E99" s="731" t="s">
        <v>314</v>
      </c>
      <c r="F99" s="731" t="s">
        <v>47</v>
      </c>
      <c r="G99" s="732" t="s">
        <v>110</v>
      </c>
      <c r="H99" s="595" t="str">
        <f t="shared" si="1"/>
        <v>63401</v>
      </c>
    </row>
    <row r="100" spans="1:8" x14ac:dyDescent="0.35">
      <c r="A100" s="728">
        <v>134302</v>
      </c>
      <c r="B100" s="729">
        <v>3732369</v>
      </c>
      <c r="C100" s="729"/>
      <c r="D100" s="730">
        <v>2369</v>
      </c>
      <c r="E100" s="731" t="s">
        <v>176</v>
      </c>
      <c r="F100" s="731" t="s">
        <v>47</v>
      </c>
      <c r="G100" s="732">
        <v>0</v>
      </c>
      <c r="H100" s="595" t="str">
        <f t="shared" si="1"/>
        <v>72369</v>
      </c>
    </row>
    <row r="101" spans="1:8" x14ac:dyDescent="0.35">
      <c r="A101" s="728">
        <v>107092</v>
      </c>
      <c r="B101" s="729">
        <v>3732349</v>
      </c>
      <c r="C101" s="729"/>
      <c r="D101" s="730">
        <v>2349</v>
      </c>
      <c r="E101" s="731" t="s">
        <v>33</v>
      </c>
      <c r="F101" s="731" t="s">
        <v>47</v>
      </c>
      <c r="G101" s="732">
        <v>0</v>
      </c>
      <c r="H101" s="595" t="str">
        <f t="shared" si="1"/>
        <v>72349</v>
      </c>
    </row>
    <row r="102" spans="1:8" x14ac:dyDescent="0.35">
      <c r="A102" s="728">
        <v>107102</v>
      </c>
      <c r="B102" s="729">
        <v>3732360</v>
      </c>
      <c r="C102" s="729"/>
      <c r="D102" s="730">
        <v>2360</v>
      </c>
      <c r="E102" s="731" t="s">
        <v>177</v>
      </c>
      <c r="F102" s="731" t="s">
        <v>47</v>
      </c>
      <c r="G102" s="732">
        <v>0</v>
      </c>
      <c r="H102" s="595" t="str">
        <f t="shared" si="1"/>
        <v>72360</v>
      </c>
    </row>
    <row r="103" spans="1:8" x14ac:dyDescent="0.35">
      <c r="A103" s="728">
        <v>139133</v>
      </c>
      <c r="B103" s="729">
        <v>3732009</v>
      </c>
      <c r="C103" s="729"/>
      <c r="D103" s="730">
        <v>2009</v>
      </c>
      <c r="E103" s="731" t="s">
        <v>315</v>
      </c>
      <c r="F103" s="731" t="s">
        <v>47</v>
      </c>
      <c r="G103" s="732" t="s">
        <v>110</v>
      </c>
      <c r="H103" s="595" t="str">
        <f t="shared" si="1"/>
        <v>62009</v>
      </c>
    </row>
    <row r="104" spans="1:8" x14ac:dyDescent="0.35">
      <c r="A104" s="728">
        <v>107073</v>
      </c>
      <c r="B104" s="729">
        <v>3732329</v>
      </c>
      <c r="C104" s="729"/>
      <c r="D104" s="730">
        <v>2329</v>
      </c>
      <c r="E104" s="731" t="s">
        <v>34</v>
      </c>
      <c r="F104" s="731" t="s">
        <v>47</v>
      </c>
      <c r="G104" s="732">
        <v>0</v>
      </c>
      <c r="H104" s="595" t="str">
        <f t="shared" si="1"/>
        <v>72329</v>
      </c>
    </row>
    <row r="105" spans="1:8" x14ac:dyDescent="0.35">
      <c r="A105" s="728">
        <v>140441</v>
      </c>
      <c r="B105" s="729">
        <v>3735202</v>
      </c>
      <c r="C105" s="729"/>
      <c r="D105" s="730">
        <v>5202</v>
      </c>
      <c r="E105" s="731" t="s">
        <v>316</v>
      </c>
      <c r="F105" s="731" t="s">
        <v>47</v>
      </c>
      <c r="G105" s="732" t="s">
        <v>110</v>
      </c>
      <c r="H105" s="595" t="str">
        <f t="shared" si="1"/>
        <v>65202</v>
      </c>
    </row>
    <row r="106" spans="1:8" x14ac:dyDescent="0.35">
      <c r="A106" s="728">
        <v>140588</v>
      </c>
      <c r="B106" s="729">
        <v>3733402</v>
      </c>
      <c r="C106" s="729"/>
      <c r="D106" s="730">
        <v>3402</v>
      </c>
      <c r="E106" s="731" t="s">
        <v>370</v>
      </c>
      <c r="F106" s="731" t="s">
        <v>47</v>
      </c>
      <c r="G106" s="732" t="s">
        <v>110</v>
      </c>
      <c r="H106" s="595" t="str">
        <f t="shared" si="1"/>
        <v>63402</v>
      </c>
    </row>
    <row r="107" spans="1:8" x14ac:dyDescent="0.35">
      <c r="A107" s="728">
        <v>140025</v>
      </c>
      <c r="B107" s="729">
        <v>3732017</v>
      </c>
      <c r="C107" s="729"/>
      <c r="D107" s="730">
        <v>2017</v>
      </c>
      <c r="E107" s="731" t="s">
        <v>317</v>
      </c>
      <c r="F107" s="731" t="s">
        <v>47</v>
      </c>
      <c r="G107" s="732" t="s">
        <v>110</v>
      </c>
      <c r="H107" s="595" t="str">
        <f t="shared" si="1"/>
        <v>62017</v>
      </c>
    </row>
    <row r="108" spans="1:8" x14ac:dyDescent="0.35">
      <c r="A108" s="728">
        <v>139346</v>
      </c>
      <c r="B108" s="729">
        <v>3735203</v>
      </c>
      <c r="C108" s="729"/>
      <c r="D108" s="730">
        <v>5203</v>
      </c>
      <c r="E108" s="731" t="s">
        <v>318</v>
      </c>
      <c r="F108" s="731" t="s">
        <v>47</v>
      </c>
      <c r="G108" s="732" t="s">
        <v>110</v>
      </c>
      <c r="H108" s="595" t="str">
        <f t="shared" si="1"/>
        <v>65203</v>
      </c>
    </row>
    <row r="109" spans="1:8" x14ac:dyDescent="0.35">
      <c r="A109" s="728">
        <v>138848</v>
      </c>
      <c r="B109" s="729">
        <v>3733406</v>
      </c>
      <c r="C109" s="729"/>
      <c r="D109" s="730">
        <v>3406</v>
      </c>
      <c r="E109" s="731" t="s">
        <v>319</v>
      </c>
      <c r="F109" s="731" t="s">
        <v>47</v>
      </c>
      <c r="G109" s="732" t="s">
        <v>110</v>
      </c>
      <c r="H109" s="595" t="str">
        <f t="shared" si="1"/>
        <v>63406</v>
      </c>
    </row>
    <row r="110" spans="1:8" x14ac:dyDescent="0.35">
      <c r="A110" s="728">
        <v>140341</v>
      </c>
      <c r="B110" s="729">
        <v>3732020</v>
      </c>
      <c r="C110" s="729"/>
      <c r="D110" s="730">
        <v>2020</v>
      </c>
      <c r="E110" s="731" t="s">
        <v>320</v>
      </c>
      <c r="F110" s="731" t="s">
        <v>47</v>
      </c>
      <c r="G110" s="732" t="s">
        <v>110</v>
      </c>
      <c r="H110" s="595" t="str">
        <f t="shared" si="1"/>
        <v>62020</v>
      </c>
    </row>
    <row r="111" spans="1:8" x14ac:dyDescent="0.35">
      <c r="A111" s="728">
        <v>140440</v>
      </c>
      <c r="B111" s="729">
        <v>3733423</v>
      </c>
      <c r="C111" s="729"/>
      <c r="D111" s="730">
        <v>3423</v>
      </c>
      <c r="E111" s="731" t="s">
        <v>321</v>
      </c>
      <c r="F111" s="731" t="s">
        <v>47</v>
      </c>
      <c r="G111" s="732" t="s">
        <v>110</v>
      </c>
      <c r="H111" s="595" t="str">
        <f t="shared" si="1"/>
        <v>63423</v>
      </c>
    </row>
    <row r="112" spans="1:8" x14ac:dyDescent="0.35">
      <c r="A112" s="728">
        <v>139347</v>
      </c>
      <c r="B112" s="729">
        <v>3735207</v>
      </c>
      <c r="C112" s="729"/>
      <c r="D112" s="730">
        <v>5207</v>
      </c>
      <c r="E112" s="731" t="s">
        <v>322</v>
      </c>
      <c r="F112" s="731" t="s">
        <v>47</v>
      </c>
      <c r="G112" s="732" t="s">
        <v>110</v>
      </c>
      <c r="H112" s="595" t="str">
        <f t="shared" si="1"/>
        <v>65207</v>
      </c>
    </row>
    <row r="113" spans="1:8" x14ac:dyDescent="0.35">
      <c r="A113" s="728">
        <v>107158</v>
      </c>
      <c r="B113" s="729">
        <v>3735208</v>
      </c>
      <c r="C113" s="729"/>
      <c r="D113" s="730">
        <v>5208</v>
      </c>
      <c r="E113" s="731" t="s">
        <v>35</v>
      </c>
      <c r="F113" s="731" t="s">
        <v>47</v>
      </c>
      <c r="G113" s="732">
        <v>0</v>
      </c>
      <c r="H113" s="595" t="str">
        <f t="shared" si="1"/>
        <v>75208</v>
      </c>
    </row>
    <row r="114" spans="1:8" x14ac:dyDescent="0.35">
      <c r="A114" s="728">
        <v>142600</v>
      </c>
      <c r="B114" s="729">
        <v>3733424</v>
      </c>
      <c r="C114" s="729"/>
      <c r="D114" s="730">
        <v>3424</v>
      </c>
      <c r="E114" s="731" t="s">
        <v>323</v>
      </c>
      <c r="F114" s="731" t="s">
        <v>47</v>
      </c>
      <c r="G114" s="732" t="s">
        <v>110</v>
      </c>
      <c r="H114" s="595" t="str">
        <f t="shared" si="1"/>
        <v>63424</v>
      </c>
    </row>
    <row r="115" spans="1:8" x14ac:dyDescent="0.35">
      <c r="A115" s="728">
        <v>138828</v>
      </c>
      <c r="B115" s="729">
        <v>3733414</v>
      </c>
      <c r="C115" s="729"/>
      <c r="D115" s="730">
        <v>3414</v>
      </c>
      <c r="E115" s="731" t="s">
        <v>324</v>
      </c>
      <c r="F115" s="731" t="s">
        <v>47</v>
      </c>
      <c r="G115" s="732" t="s">
        <v>110</v>
      </c>
      <c r="H115" s="595" t="str">
        <f t="shared" si="1"/>
        <v>63414</v>
      </c>
    </row>
    <row r="116" spans="1:8" x14ac:dyDescent="0.35">
      <c r="A116" s="728">
        <v>138830</v>
      </c>
      <c r="B116" s="729">
        <v>3733412</v>
      </c>
      <c r="C116" s="729"/>
      <c r="D116" s="730">
        <v>3412</v>
      </c>
      <c r="E116" s="731" t="s">
        <v>325</v>
      </c>
      <c r="F116" s="731" t="s">
        <v>47</v>
      </c>
      <c r="G116" s="732" t="s">
        <v>110</v>
      </c>
      <c r="H116" s="595" t="str">
        <f t="shared" si="1"/>
        <v>63412</v>
      </c>
    </row>
    <row r="117" spans="1:8" x14ac:dyDescent="0.35">
      <c r="A117" s="728">
        <v>146510</v>
      </c>
      <c r="B117" s="729">
        <v>3732294</v>
      </c>
      <c r="C117" s="729"/>
      <c r="D117" s="730">
        <v>2294</v>
      </c>
      <c r="E117" s="731" t="s">
        <v>107</v>
      </c>
      <c r="F117" s="731" t="s">
        <v>47</v>
      </c>
      <c r="G117" s="732" t="s">
        <v>110</v>
      </c>
      <c r="H117" s="595" t="str">
        <f t="shared" si="1"/>
        <v>62294</v>
      </c>
    </row>
    <row r="118" spans="1:8" x14ac:dyDescent="0.35">
      <c r="A118" s="728">
        <v>107055</v>
      </c>
      <c r="B118" s="729">
        <v>3732303</v>
      </c>
      <c r="C118" s="729"/>
      <c r="D118" s="730">
        <v>2303</v>
      </c>
      <c r="E118" s="731" t="s">
        <v>108</v>
      </c>
      <c r="F118" s="731" t="s">
        <v>47</v>
      </c>
      <c r="G118" s="732">
        <v>0</v>
      </c>
      <c r="H118" s="595" t="str">
        <f t="shared" si="1"/>
        <v>72303</v>
      </c>
    </row>
    <row r="119" spans="1:8" x14ac:dyDescent="0.35">
      <c r="A119" s="728">
        <v>149119</v>
      </c>
      <c r="B119" s="729">
        <v>3732302</v>
      </c>
      <c r="C119" s="729"/>
      <c r="D119" s="730">
        <v>2302</v>
      </c>
      <c r="E119" s="731" t="s">
        <v>36</v>
      </c>
      <c r="F119" s="731" t="s">
        <v>47</v>
      </c>
      <c r="G119" s="732" t="s">
        <v>110</v>
      </c>
      <c r="H119" s="595" t="str">
        <f t="shared" si="1"/>
        <v>62302</v>
      </c>
    </row>
    <row r="120" spans="1:8" x14ac:dyDescent="0.35">
      <c r="A120" s="728">
        <v>107093</v>
      </c>
      <c r="B120" s="729">
        <v>3732350</v>
      </c>
      <c r="C120" s="729"/>
      <c r="D120" s="730">
        <v>2350</v>
      </c>
      <c r="E120" s="731" t="s">
        <v>37</v>
      </c>
      <c r="F120" s="731" t="s">
        <v>47</v>
      </c>
      <c r="G120" s="732">
        <v>0</v>
      </c>
      <c r="H120" s="595" t="str">
        <f t="shared" si="1"/>
        <v>72350</v>
      </c>
    </row>
    <row r="121" spans="1:8" x14ac:dyDescent="0.35">
      <c r="A121" s="728">
        <v>142749</v>
      </c>
      <c r="B121" s="729">
        <v>3732230</v>
      </c>
      <c r="C121" s="729"/>
      <c r="D121" s="730">
        <v>2230</v>
      </c>
      <c r="E121" s="731" t="s">
        <v>326</v>
      </c>
      <c r="F121" s="731" t="s">
        <v>47</v>
      </c>
      <c r="G121" s="732" t="s">
        <v>110</v>
      </c>
      <c r="H121" s="595" t="str">
        <f t="shared" si="1"/>
        <v>62230</v>
      </c>
    </row>
    <row r="122" spans="1:8" x14ac:dyDescent="0.35">
      <c r="A122" s="728">
        <v>147481</v>
      </c>
      <c r="B122" s="729">
        <v>3735206</v>
      </c>
      <c r="C122" s="729"/>
      <c r="D122" s="730">
        <v>5206</v>
      </c>
      <c r="E122" s="731" t="s">
        <v>178</v>
      </c>
      <c r="F122" s="731" t="s">
        <v>47</v>
      </c>
      <c r="G122" s="732" t="s">
        <v>110</v>
      </c>
      <c r="H122" s="595" t="str">
        <f t="shared" si="1"/>
        <v>65206</v>
      </c>
    </row>
    <row r="123" spans="1:8" x14ac:dyDescent="0.35">
      <c r="A123" s="728">
        <v>140596</v>
      </c>
      <c r="B123" s="729">
        <v>3732203</v>
      </c>
      <c r="C123" s="729"/>
      <c r="D123" s="730">
        <v>2203</v>
      </c>
      <c r="E123" s="731" t="s">
        <v>327</v>
      </c>
      <c r="F123" s="731" t="s">
        <v>47</v>
      </c>
      <c r="G123" s="732" t="s">
        <v>110</v>
      </c>
      <c r="H123" s="595" t="str">
        <f t="shared" si="1"/>
        <v>62203</v>
      </c>
    </row>
    <row r="124" spans="1:8" x14ac:dyDescent="0.35">
      <c r="A124" s="728">
        <v>107094</v>
      </c>
      <c r="B124" s="729">
        <v>3732351</v>
      </c>
      <c r="C124" s="729"/>
      <c r="D124" s="730">
        <v>2351</v>
      </c>
      <c r="E124" s="731" t="s">
        <v>38</v>
      </c>
      <c r="F124" s="731" t="s">
        <v>47</v>
      </c>
      <c r="G124" s="732">
        <v>0</v>
      </c>
      <c r="H124" s="595" t="str">
        <f t="shared" si="1"/>
        <v>72351</v>
      </c>
    </row>
    <row r="125" spans="1:8" x14ac:dyDescent="0.35">
      <c r="A125" s="728">
        <v>131082</v>
      </c>
      <c r="B125" s="729">
        <v>3733432</v>
      </c>
      <c r="C125" s="729"/>
      <c r="D125" s="730">
        <v>3432</v>
      </c>
      <c r="E125" s="731" t="s">
        <v>179</v>
      </c>
      <c r="F125" s="731" t="s">
        <v>47</v>
      </c>
      <c r="G125" s="732">
        <v>0</v>
      </c>
      <c r="H125" s="595" t="str">
        <f t="shared" si="1"/>
        <v>73432</v>
      </c>
    </row>
    <row r="126" spans="1:8" x14ac:dyDescent="0.35">
      <c r="A126" s="728">
        <v>107064</v>
      </c>
      <c r="B126" s="729">
        <v>3732319</v>
      </c>
      <c r="C126" s="729"/>
      <c r="D126" s="730">
        <v>2319</v>
      </c>
      <c r="E126" s="731" t="s">
        <v>180</v>
      </c>
      <c r="F126" s="731" t="s">
        <v>47</v>
      </c>
      <c r="G126" s="732">
        <v>0</v>
      </c>
      <c r="H126" s="595" t="str">
        <f t="shared" si="1"/>
        <v>72319</v>
      </c>
    </row>
    <row r="127" spans="1:8" x14ac:dyDescent="0.35">
      <c r="A127" s="728">
        <v>107095</v>
      </c>
      <c r="B127" s="729">
        <v>3732352</v>
      </c>
      <c r="C127" s="729"/>
      <c r="D127" s="730">
        <v>2352</v>
      </c>
      <c r="E127" s="731" t="s">
        <v>39</v>
      </c>
      <c r="F127" s="731" t="s">
        <v>47</v>
      </c>
      <c r="G127" s="732">
        <v>0</v>
      </c>
      <c r="H127" s="595" t="str">
        <f t="shared" si="1"/>
        <v>72352</v>
      </c>
    </row>
    <row r="128" spans="1:8" x14ac:dyDescent="0.35">
      <c r="A128" s="728">
        <v>146498</v>
      </c>
      <c r="B128" s="729">
        <v>3732311</v>
      </c>
      <c r="C128" s="729"/>
      <c r="D128" s="730">
        <v>2311</v>
      </c>
      <c r="E128" s="731" t="s">
        <v>40</v>
      </c>
      <c r="F128" s="731" t="s">
        <v>47</v>
      </c>
      <c r="G128" s="732" t="s">
        <v>110</v>
      </c>
      <c r="H128" s="595" t="str">
        <f t="shared" si="1"/>
        <v>62311</v>
      </c>
    </row>
    <row r="129" spans="1:8" x14ac:dyDescent="0.35">
      <c r="A129" s="728">
        <v>147621</v>
      </c>
      <c r="B129" s="729">
        <v>3732040</v>
      </c>
      <c r="C129" s="729"/>
      <c r="D129" s="730">
        <v>2040</v>
      </c>
      <c r="E129" s="731" t="s">
        <v>109</v>
      </c>
      <c r="F129" s="731" t="s">
        <v>47</v>
      </c>
      <c r="G129" s="732" t="s">
        <v>110</v>
      </c>
      <c r="H129" s="595" t="str">
        <f t="shared" si="1"/>
        <v>62040</v>
      </c>
    </row>
    <row r="130" spans="1:8" x14ac:dyDescent="0.35">
      <c r="A130" s="728">
        <v>140610</v>
      </c>
      <c r="B130" s="729">
        <v>3732027</v>
      </c>
      <c r="C130" s="729"/>
      <c r="D130" s="730">
        <v>2027</v>
      </c>
      <c r="E130" s="731" t="s">
        <v>328</v>
      </c>
      <c r="F130" s="731" t="s">
        <v>47</v>
      </c>
      <c r="G130" s="732" t="s">
        <v>110</v>
      </c>
      <c r="H130" s="595" t="str">
        <f t="shared" si="1"/>
        <v>62027</v>
      </c>
    </row>
    <row r="131" spans="1:8" x14ac:dyDescent="0.35">
      <c r="A131" s="728">
        <v>145373</v>
      </c>
      <c r="B131" s="729">
        <v>3732361</v>
      </c>
      <c r="C131" s="729"/>
      <c r="D131" s="730">
        <v>2361</v>
      </c>
      <c r="E131" s="731" t="s">
        <v>329</v>
      </c>
      <c r="F131" s="731" t="s">
        <v>47</v>
      </c>
      <c r="G131" s="732" t="s">
        <v>110</v>
      </c>
      <c r="H131" s="595" t="str">
        <f t="shared" si="1"/>
        <v>62361</v>
      </c>
    </row>
    <row r="132" spans="1:8" x14ac:dyDescent="0.35">
      <c r="A132" s="728">
        <v>142074</v>
      </c>
      <c r="B132" s="729">
        <v>3732043</v>
      </c>
      <c r="C132" s="729"/>
      <c r="D132" s="730">
        <v>2043</v>
      </c>
      <c r="E132" s="731" t="s">
        <v>330</v>
      </c>
      <c r="F132" s="731" t="s">
        <v>47</v>
      </c>
      <c r="G132" s="732" t="s">
        <v>110</v>
      </c>
      <c r="H132" s="595" t="str">
        <f t="shared" si="1"/>
        <v>62043</v>
      </c>
    </row>
    <row r="133" spans="1:8" x14ac:dyDescent="0.35">
      <c r="A133" s="728">
        <v>147921</v>
      </c>
      <c r="B133" s="729">
        <v>3732139</v>
      </c>
      <c r="C133" s="733"/>
      <c r="D133" s="730">
        <v>2139</v>
      </c>
      <c r="E133" s="731" t="s">
        <v>41</v>
      </c>
      <c r="F133" s="731" t="s">
        <v>47</v>
      </c>
      <c r="G133" s="732" t="s">
        <v>110</v>
      </c>
      <c r="H133" s="596" t="str">
        <f>IF(G133=0,7&amp;D133,6&amp;D133)</f>
        <v>62139</v>
      </c>
    </row>
    <row r="134" spans="1:8" s="147" customFormat="1" x14ac:dyDescent="0.35">
      <c r="A134" s="728">
        <v>141339</v>
      </c>
      <c r="B134" s="729">
        <v>3732034</v>
      </c>
      <c r="C134" s="729"/>
      <c r="D134" s="730">
        <v>2034</v>
      </c>
      <c r="E134" s="731" t="s">
        <v>464</v>
      </c>
      <c r="F134" s="731" t="s">
        <v>47</v>
      </c>
      <c r="G134" s="732" t="s">
        <v>110</v>
      </c>
      <c r="H134" s="595" t="str">
        <f t="shared" ref="H134:H169" si="2">IF(G134=0,7&amp;D134,6&amp;D134)</f>
        <v>62034</v>
      </c>
    </row>
    <row r="135" spans="1:8" x14ac:dyDescent="0.35">
      <c r="A135" s="728">
        <v>147375</v>
      </c>
      <c r="B135" s="729">
        <v>3732324</v>
      </c>
      <c r="C135" s="729"/>
      <c r="D135" s="730">
        <v>2324</v>
      </c>
      <c r="E135" s="731" t="s">
        <v>42</v>
      </c>
      <c r="F135" s="731" t="s">
        <v>47</v>
      </c>
      <c r="G135" s="732" t="s">
        <v>110</v>
      </c>
      <c r="H135" s="595" t="str">
        <f t="shared" si="2"/>
        <v>62324</v>
      </c>
    </row>
    <row r="136" spans="1:8" x14ac:dyDescent="0.35">
      <c r="A136" s="728">
        <v>148690</v>
      </c>
      <c r="B136" s="729">
        <v>3732327</v>
      </c>
      <c r="C136" s="729"/>
      <c r="D136" s="730">
        <v>2327</v>
      </c>
      <c r="E136" s="731" t="s">
        <v>181</v>
      </c>
      <c r="F136" s="731" t="s">
        <v>47</v>
      </c>
      <c r="G136" s="732" t="s">
        <v>110</v>
      </c>
      <c r="H136" s="595" t="str">
        <f t="shared" si="2"/>
        <v>62327</v>
      </c>
    </row>
    <row r="137" spans="1:8" x14ac:dyDescent="0.35">
      <c r="A137" s="728">
        <v>143620</v>
      </c>
      <c r="B137" s="729">
        <v>3732321</v>
      </c>
      <c r="C137" s="729"/>
      <c r="D137" s="730">
        <v>2321</v>
      </c>
      <c r="E137" s="731" t="s">
        <v>331</v>
      </c>
      <c r="F137" s="731" t="s">
        <v>47</v>
      </c>
      <c r="G137" s="732" t="s">
        <v>110</v>
      </c>
      <c r="H137" s="595" t="str">
        <f t="shared" si="2"/>
        <v>62321</v>
      </c>
    </row>
    <row r="138" spans="1:8" x14ac:dyDescent="0.35">
      <c r="A138" s="728"/>
      <c r="B138" s="729"/>
      <c r="D138" s="734"/>
      <c r="E138" s="731"/>
      <c r="F138" s="731"/>
      <c r="G138" s="732"/>
    </row>
    <row r="139" spans="1:8" x14ac:dyDescent="0.35">
      <c r="A139" s="728"/>
      <c r="B139" s="729"/>
      <c r="D139" s="734"/>
      <c r="E139" s="731" t="s">
        <v>274</v>
      </c>
      <c r="F139" s="731"/>
      <c r="G139" s="732"/>
    </row>
    <row r="140" spans="1:8" x14ac:dyDescent="0.35">
      <c r="A140" s="728"/>
      <c r="B140" s="729"/>
      <c r="D140" s="734"/>
      <c r="E140" s="731"/>
      <c r="F140" s="731"/>
      <c r="G140" s="732"/>
    </row>
    <row r="141" spans="1:8" x14ac:dyDescent="0.35">
      <c r="A141" s="728"/>
      <c r="B141" s="729"/>
      <c r="D141" s="734"/>
      <c r="E141" s="731" t="s">
        <v>133</v>
      </c>
      <c r="F141" s="731"/>
      <c r="G141" s="732"/>
    </row>
    <row r="142" spans="1:8" s="146" customFormat="1" x14ac:dyDescent="0.35">
      <c r="A142" s="728"/>
      <c r="B142" s="729"/>
      <c r="C142" s="595"/>
      <c r="D142" s="734"/>
      <c r="E142" s="731"/>
      <c r="F142" s="731"/>
      <c r="G142" s="732"/>
      <c r="H142" s="595"/>
    </row>
    <row r="143" spans="1:8" x14ac:dyDescent="0.35">
      <c r="A143" s="728">
        <v>138337</v>
      </c>
      <c r="B143" s="729">
        <v>3735401</v>
      </c>
      <c r="D143" s="730">
        <v>5401</v>
      </c>
      <c r="E143" s="731" t="s">
        <v>332</v>
      </c>
      <c r="F143" s="731" t="s">
        <v>133</v>
      </c>
      <c r="G143" s="732" t="s">
        <v>110</v>
      </c>
      <c r="H143" s="595" t="str">
        <f t="shared" si="2"/>
        <v>65401</v>
      </c>
    </row>
    <row r="144" spans="1:8" x14ac:dyDescent="0.35">
      <c r="A144" s="728">
        <v>147788</v>
      </c>
      <c r="B144" s="729">
        <v>3734017</v>
      </c>
      <c r="C144" s="729"/>
      <c r="D144" s="730">
        <v>4017</v>
      </c>
      <c r="E144" s="731" t="s">
        <v>333</v>
      </c>
      <c r="F144" s="731" t="s">
        <v>133</v>
      </c>
      <c r="G144" s="732" t="s">
        <v>110</v>
      </c>
      <c r="H144" s="595" t="str">
        <f t="shared" si="2"/>
        <v>64017</v>
      </c>
    </row>
    <row r="145" spans="1:8" x14ac:dyDescent="0.35">
      <c r="A145" s="728">
        <v>138414</v>
      </c>
      <c r="B145" s="729">
        <v>3734000</v>
      </c>
      <c r="C145" s="729"/>
      <c r="D145" s="730">
        <v>4000</v>
      </c>
      <c r="E145" s="731" t="s">
        <v>334</v>
      </c>
      <c r="F145" s="731" t="s">
        <v>133</v>
      </c>
      <c r="G145" s="732" t="s">
        <v>110</v>
      </c>
      <c r="H145" s="595" t="str">
        <f t="shared" si="2"/>
        <v>64000</v>
      </c>
    </row>
    <row r="146" spans="1:8" x14ac:dyDescent="0.35">
      <c r="A146" s="728">
        <v>145191</v>
      </c>
      <c r="B146" s="729">
        <v>3734012</v>
      </c>
      <c r="C146" s="729"/>
      <c r="D146" s="730">
        <v>4012</v>
      </c>
      <c r="E146" s="731" t="s">
        <v>335</v>
      </c>
      <c r="F146" s="731" t="s">
        <v>133</v>
      </c>
      <c r="G146" s="732" t="s">
        <v>110</v>
      </c>
      <c r="H146" s="595" t="str">
        <f t="shared" si="2"/>
        <v>64012</v>
      </c>
    </row>
    <row r="147" spans="1:8" x14ac:dyDescent="0.35">
      <c r="A147" s="728">
        <v>138925</v>
      </c>
      <c r="B147" s="729">
        <v>3734280</v>
      </c>
      <c r="C147" s="729"/>
      <c r="D147" s="730">
        <v>4280</v>
      </c>
      <c r="E147" s="731" t="s">
        <v>336</v>
      </c>
      <c r="F147" s="731" t="s">
        <v>133</v>
      </c>
      <c r="G147" s="732" t="s">
        <v>110</v>
      </c>
      <c r="H147" s="595" t="str">
        <f t="shared" si="2"/>
        <v>64280</v>
      </c>
    </row>
    <row r="148" spans="1:8" x14ac:dyDescent="0.35">
      <c r="A148" s="728">
        <v>139334</v>
      </c>
      <c r="B148" s="729">
        <v>3734003</v>
      </c>
      <c r="C148" s="729"/>
      <c r="D148" s="730">
        <v>4003</v>
      </c>
      <c r="E148" s="731" t="s">
        <v>337</v>
      </c>
      <c r="F148" s="731" t="s">
        <v>133</v>
      </c>
      <c r="G148" s="732" t="s">
        <v>110</v>
      </c>
      <c r="H148" s="595" t="str">
        <f t="shared" si="2"/>
        <v>64003</v>
      </c>
    </row>
    <row r="149" spans="1:8" x14ac:dyDescent="0.35">
      <c r="A149" s="728">
        <v>140547</v>
      </c>
      <c r="B149" s="729">
        <v>3734007</v>
      </c>
      <c r="C149" s="729"/>
      <c r="D149" s="730">
        <v>4007</v>
      </c>
      <c r="E149" s="731" t="s">
        <v>338</v>
      </c>
      <c r="F149" s="731" t="s">
        <v>133</v>
      </c>
      <c r="G149" s="732" t="s">
        <v>110</v>
      </c>
      <c r="H149" s="595" t="str">
        <f t="shared" si="2"/>
        <v>64007</v>
      </c>
    </row>
    <row r="150" spans="1:8" x14ac:dyDescent="0.35">
      <c r="A150" s="728">
        <v>141495</v>
      </c>
      <c r="B150" s="729">
        <v>3734278</v>
      </c>
      <c r="C150" s="729"/>
      <c r="D150" s="730">
        <v>4278</v>
      </c>
      <c r="E150" s="731" t="s">
        <v>339</v>
      </c>
      <c r="F150" s="731" t="s">
        <v>133</v>
      </c>
      <c r="G150" s="732" t="s">
        <v>110</v>
      </c>
      <c r="H150" s="595" t="str">
        <f t="shared" si="2"/>
        <v>64278</v>
      </c>
    </row>
    <row r="151" spans="1:8" x14ac:dyDescent="0.35">
      <c r="A151" s="728">
        <v>145455</v>
      </c>
      <c r="B151" s="729">
        <v>3734257</v>
      </c>
      <c r="C151" s="729"/>
      <c r="D151" s="730">
        <v>4257</v>
      </c>
      <c r="E151" s="731" t="s">
        <v>340</v>
      </c>
      <c r="F151" s="731" t="s">
        <v>133</v>
      </c>
      <c r="G151" s="732" t="s">
        <v>110</v>
      </c>
      <c r="H151" s="595" t="str">
        <f t="shared" si="2"/>
        <v>64257</v>
      </c>
    </row>
    <row r="152" spans="1:8" x14ac:dyDescent="0.35">
      <c r="A152" s="728">
        <v>138841</v>
      </c>
      <c r="B152" s="729">
        <v>3734230</v>
      </c>
      <c r="C152" s="729"/>
      <c r="D152" s="730">
        <v>4230</v>
      </c>
      <c r="E152" s="731" t="s">
        <v>71</v>
      </c>
      <c r="F152" s="731" t="s">
        <v>133</v>
      </c>
      <c r="G152" s="732" t="s">
        <v>110</v>
      </c>
      <c r="H152" s="595" t="str">
        <f t="shared" si="2"/>
        <v>64230</v>
      </c>
    </row>
    <row r="153" spans="1:8" x14ac:dyDescent="0.35">
      <c r="A153" s="728">
        <v>107140</v>
      </c>
      <c r="B153" s="729">
        <v>3734259</v>
      </c>
      <c r="C153" s="729"/>
      <c r="D153" s="730">
        <v>4259</v>
      </c>
      <c r="E153" s="731" t="s">
        <v>136</v>
      </c>
      <c r="F153" s="731" t="s">
        <v>133</v>
      </c>
      <c r="G153" s="732">
        <v>0</v>
      </c>
      <c r="H153" s="595" t="str">
        <f>IF(G153=0,7&amp;D153,6&amp;D153)</f>
        <v>74259</v>
      </c>
    </row>
    <row r="154" spans="1:8" x14ac:dyDescent="0.35">
      <c r="A154" s="728">
        <v>138545</v>
      </c>
      <c r="B154" s="729">
        <v>3734279</v>
      </c>
      <c r="C154" s="729"/>
      <c r="D154" s="730">
        <v>4279</v>
      </c>
      <c r="E154" s="731" t="s">
        <v>341</v>
      </c>
      <c r="F154" s="731" t="s">
        <v>133</v>
      </c>
      <c r="G154" s="732" t="s">
        <v>110</v>
      </c>
      <c r="H154" s="595" t="str">
        <f t="shared" si="2"/>
        <v>64279</v>
      </c>
    </row>
    <row r="155" spans="1:8" x14ac:dyDescent="0.35">
      <c r="A155" s="728">
        <v>145897</v>
      </c>
      <c r="B155" s="729">
        <v>3734015</v>
      </c>
      <c r="C155" s="729"/>
      <c r="D155" s="730">
        <v>4015</v>
      </c>
      <c r="E155" s="731" t="s">
        <v>342</v>
      </c>
      <c r="F155" s="731" t="s">
        <v>133</v>
      </c>
      <c r="G155" s="732" t="s">
        <v>110</v>
      </c>
      <c r="H155" s="595" t="str">
        <f>IF(G155=0,7&amp;D155,6&amp;D155)</f>
        <v>64015</v>
      </c>
    </row>
    <row r="156" spans="1:8" x14ac:dyDescent="0.35">
      <c r="A156" s="728">
        <v>140821</v>
      </c>
      <c r="B156" s="729">
        <v>3734008</v>
      </c>
      <c r="C156" s="729"/>
      <c r="D156" s="730">
        <v>4008</v>
      </c>
      <c r="E156" s="731" t="s">
        <v>343</v>
      </c>
      <c r="F156" s="731" t="s">
        <v>133</v>
      </c>
      <c r="G156" s="732" t="s">
        <v>110</v>
      </c>
      <c r="H156" s="595" t="str">
        <f>IF(G156=0,7&amp;D156,6&amp;D156)</f>
        <v>64008</v>
      </c>
    </row>
    <row r="157" spans="1:8" x14ac:dyDescent="0.35">
      <c r="A157" s="728">
        <v>138361</v>
      </c>
      <c r="B157" s="729">
        <v>3735400</v>
      </c>
      <c r="C157" s="729"/>
      <c r="D157" s="730">
        <v>5400</v>
      </c>
      <c r="E157" s="731" t="s">
        <v>344</v>
      </c>
      <c r="F157" s="731" t="s">
        <v>133</v>
      </c>
      <c r="G157" s="732" t="s">
        <v>110</v>
      </c>
      <c r="H157" s="595" t="str">
        <f t="shared" si="2"/>
        <v>65400</v>
      </c>
    </row>
    <row r="158" spans="1:8" x14ac:dyDescent="0.35">
      <c r="A158" s="728">
        <v>140415</v>
      </c>
      <c r="B158" s="729">
        <v>3734006</v>
      </c>
      <c r="C158" s="729"/>
      <c r="D158" s="730">
        <v>4006</v>
      </c>
      <c r="E158" s="731" t="s">
        <v>345</v>
      </c>
      <c r="F158" s="731" t="s">
        <v>133</v>
      </c>
      <c r="G158" s="732" t="s">
        <v>110</v>
      </c>
      <c r="H158" s="595" t="str">
        <f t="shared" si="2"/>
        <v>64006</v>
      </c>
    </row>
    <row r="159" spans="1:8" x14ac:dyDescent="0.35">
      <c r="A159" s="728">
        <v>135934</v>
      </c>
      <c r="B159" s="729">
        <v>3736907</v>
      </c>
      <c r="C159" s="729"/>
      <c r="D159" s="730">
        <v>6907</v>
      </c>
      <c r="E159" s="731" t="s">
        <v>465</v>
      </c>
      <c r="F159" s="731" t="s">
        <v>133</v>
      </c>
      <c r="G159" s="732" t="s">
        <v>110</v>
      </c>
      <c r="H159" s="595" t="str">
        <f t="shared" si="2"/>
        <v>66907</v>
      </c>
    </row>
    <row r="160" spans="1:8" x14ac:dyDescent="0.35">
      <c r="A160" s="728">
        <v>131895</v>
      </c>
      <c r="B160" s="729">
        <v>3736905</v>
      </c>
      <c r="C160" s="729"/>
      <c r="D160" s="730">
        <v>6905</v>
      </c>
      <c r="E160" s="731" t="s">
        <v>346</v>
      </c>
      <c r="F160" s="731" t="s">
        <v>133</v>
      </c>
      <c r="G160" s="732" t="s">
        <v>110</v>
      </c>
      <c r="H160" s="595" t="str">
        <f t="shared" si="2"/>
        <v>66905</v>
      </c>
    </row>
    <row r="161" spans="1:8" s="147" customFormat="1" x14ac:dyDescent="0.35">
      <c r="A161" s="728">
        <v>131896</v>
      </c>
      <c r="B161" s="729">
        <v>3736906</v>
      </c>
      <c r="C161" s="729"/>
      <c r="D161" s="730">
        <v>6906</v>
      </c>
      <c r="E161" s="731" t="s">
        <v>347</v>
      </c>
      <c r="F161" s="731" t="s">
        <v>133</v>
      </c>
      <c r="G161" s="732" t="s">
        <v>110</v>
      </c>
      <c r="H161" s="595" t="str">
        <f t="shared" si="2"/>
        <v>66906</v>
      </c>
    </row>
    <row r="162" spans="1:8" x14ac:dyDescent="0.35">
      <c r="A162" s="728">
        <v>139167</v>
      </c>
      <c r="B162" s="729">
        <v>3734229</v>
      </c>
      <c r="C162" s="729"/>
      <c r="D162" s="730">
        <v>4229</v>
      </c>
      <c r="E162" s="731" t="s">
        <v>348</v>
      </c>
      <c r="F162" s="731" t="s">
        <v>133</v>
      </c>
      <c r="G162" s="732" t="s">
        <v>110</v>
      </c>
      <c r="H162" s="595" t="str">
        <f t="shared" si="2"/>
        <v>64229</v>
      </c>
    </row>
    <row r="163" spans="1:8" x14ac:dyDescent="0.35">
      <c r="A163" s="728">
        <v>145274</v>
      </c>
      <c r="B163" s="729">
        <v>3734271</v>
      </c>
      <c r="C163" s="729"/>
      <c r="D163" s="730">
        <v>4271</v>
      </c>
      <c r="E163" s="731" t="s">
        <v>349</v>
      </c>
      <c r="F163" s="731" t="s">
        <v>133</v>
      </c>
      <c r="G163" s="732" t="s">
        <v>110</v>
      </c>
      <c r="H163" s="595" t="str">
        <f t="shared" si="2"/>
        <v>64271</v>
      </c>
    </row>
    <row r="164" spans="1:8" x14ac:dyDescent="0.35">
      <c r="A164" s="728">
        <v>138069</v>
      </c>
      <c r="B164" s="729">
        <v>3734234</v>
      </c>
      <c r="C164" s="729"/>
      <c r="D164" s="730">
        <v>4234</v>
      </c>
      <c r="E164" s="731" t="s">
        <v>350</v>
      </c>
      <c r="F164" s="731" t="s">
        <v>133</v>
      </c>
      <c r="G164" s="732" t="s">
        <v>110</v>
      </c>
      <c r="H164" s="595" t="str">
        <f t="shared" si="2"/>
        <v>64234</v>
      </c>
    </row>
    <row r="165" spans="1:8" x14ac:dyDescent="0.35">
      <c r="A165" s="728">
        <v>143963</v>
      </c>
      <c r="B165" s="729">
        <v>3734276</v>
      </c>
      <c r="C165" s="729"/>
      <c r="D165" s="730">
        <v>4276</v>
      </c>
      <c r="E165" s="731" t="s">
        <v>182</v>
      </c>
      <c r="F165" s="731" t="s">
        <v>133</v>
      </c>
      <c r="G165" s="732" t="s">
        <v>110</v>
      </c>
      <c r="H165" s="595" t="str">
        <f t="shared" si="2"/>
        <v>64276</v>
      </c>
    </row>
    <row r="166" spans="1:8" x14ac:dyDescent="0.35">
      <c r="A166" s="728">
        <v>139695</v>
      </c>
      <c r="B166" s="729">
        <v>3734004</v>
      </c>
      <c r="C166" s="729"/>
      <c r="D166" s="730">
        <v>4004</v>
      </c>
      <c r="E166" s="731" t="s">
        <v>412</v>
      </c>
      <c r="F166" s="731" t="s">
        <v>133</v>
      </c>
      <c r="G166" s="732" t="s">
        <v>110</v>
      </c>
      <c r="H166" s="595" t="str">
        <f t="shared" si="2"/>
        <v>64004</v>
      </c>
    </row>
    <row r="167" spans="1:8" x14ac:dyDescent="0.35">
      <c r="A167" s="728">
        <v>142605</v>
      </c>
      <c r="B167" s="729">
        <v>3734010</v>
      </c>
      <c r="C167" s="729"/>
      <c r="D167" s="730">
        <v>4010</v>
      </c>
      <c r="E167" s="731" t="s">
        <v>351</v>
      </c>
      <c r="F167" s="731" t="s">
        <v>133</v>
      </c>
      <c r="G167" s="732" t="s">
        <v>110</v>
      </c>
      <c r="H167" s="595" t="str">
        <f t="shared" si="2"/>
        <v>64010</v>
      </c>
    </row>
    <row r="168" spans="1:8" x14ac:dyDescent="0.35">
      <c r="A168" s="728">
        <v>145562</v>
      </c>
      <c r="B168" s="729">
        <v>3734013</v>
      </c>
      <c r="C168" s="729"/>
      <c r="D168" s="730">
        <v>4013</v>
      </c>
      <c r="E168" s="731" t="s">
        <v>352</v>
      </c>
      <c r="F168" s="731" t="s">
        <v>133</v>
      </c>
      <c r="G168" s="732" t="s">
        <v>110</v>
      </c>
      <c r="H168" s="595" t="str">
        <f t="shared" si="2"/>
        <v>64013</v>
      </c>
    </row>
    <row r="169" spans="1:8" x14ac:dyDescent="0.35">
      <c r="A169" s="728">
        <v>145943</v>
      </c>
      <c r="B169" s="729">
        <v>3734016</v>
      </c>
      <c r="C169" s="729"/>
      <c r="D169" s="730">
        <v>4016</v>
      </c>
      <c r="E169" s="731" t="s">
        <v>353</v>
      </c>
      <c r="F169" s="731" t="s">
        <v>133</v>
      </c>
      <c r="G169" s="732" t="s">
        <v>110</v>
      </c>
      <c r="H169" s="595" t="str">
        <f t="shared" si="2"/>
        <v>64016</v>
      </c>
    </row>
    <row r="170" spans="1:8" x14ac:dyDescent="0.35">
      <c r="A170" s="728"/>
      <c r="B170" s="729"/>
      <c r="C170" s="729"/>
      <c r="D170" s="734"/>
      <c r="E170" s="731"/>
      <c r="F170" s="731"/>
      <c r="G170" s="732"/>
    </row>
    <row r="171" spans="1:8" s="147" customFormat="1" x14ac:dyDescent="0.35">
      <c r="A171" s="728"/>
      <c r="B171" s="729"/>
      <c r="C171" s="729"/>
      <c r="D171" s="734"/>
      <c r="E171" s="731" t="s">
        <v>275</v>
      </c>
      <c r="F171" s="731"/>
      <c r="G171" s="732"/>
      <c r="H171" s="595"/>
    </row>
    <row r="172" spans="1:8" s="147" customFormat="1" x14ac:dyDescent="0.35">
      <c r="A172" s="728"/>
      <c r="B172" s="729"/>
      <c r="C172" s="595"/>
      <c r="D172" s="734"/>
      <c r="E172" s="731"/>
      <c r="F172" s="731"/>
      <c r="G172" s="732"/>
      <c r="H172" s="595"/>
    </row>
    <row r="173" spans="1:8" s="147" customFormat="1" x14ac:dyDescent="0.35">
      <c r="A173" s="728"/>
      <c r="B173" s="729"/>
      <c r="C173" s="595"/>
      <c r="D173" s="734"/>
      <c r="E173" s="731" t="s">
        <v>276</v>
      </c>
      <c r="F173" s="731"/>
      <c r="G173" s="732"/>
      <c r="H173" s="595"/>
    </row>
    <row r="174" spans="1:8" s="147" customFormat="1" x14ac:dyDescent="0.35">
      <c r="A174" s="728"/>
      <c r="B174" s="729"/>
      <c r="C174" s="595"/>
      <c r="D174" s="734"/>
      <c r="E174" s="731"/>
      <c r="F174" s="731"/>
      <c r="G174" s="732"/>
      <c r="H174" s="595"/>
    </row>
    <row r="175" spans="1:8" s="147" customFormat="1" x14ac:dyDescent="0.35">
      <c r="A175" s="728">
        <v>145864</v>
      </c>
      <c r="B175" s="729">
        <v>3734014</v>
      </c>
      <c r="C175" s="595"/>
      <c r="D175" s="730">
        <v>4014</v>
      </c>
      <c r="E175" s="731" t="s">
        <v>260</v>
      </c>
      <c r="F175" s="731" t="s">
        <v>354</v>
      </c>
      <c r="G175" s="732" t="s">
        <v>110</v>
      </c>
      <c r="H175" s="595" t="str">
        <f t="shared" ref="H175:H177" si="3">IF(G175=0,7&amp;D175,6&amp;D175)</f>
        <v>64014</v>
      </c>
    </row>
    <row r="176" spans="1:8" x14ac:dyDescent="0.35">
      <c r="A176" s="728">
        <v>139856</v>
      </c>
      <c r="B176" s="729">
        <v>3734225</v>
      </c>
      <c r="D176" s="730">
        <v>4225</v>
      </c>
      <c r="E176" s="731" t="s">
        <v>466</v>
      </c>
      <c r="F176" s="731" t="s">
        <v>354</v>
      </c>
      <c r="G176" s="732" t="s">
        <v>110</v>
      </c>
      <c r="H176" s="595" t="str">
        <f t="shared" si="3"/>
        <v>64225</v>
      </c>
    </row>
    <row r="177" spans="1:8" x14ac:dyDescent="0.35">
      <c r="A177" s="728">
        <v>140394</v>
      </c>
      <c r="B177" s="729">
        <v>3734005</v>
      </c>
      <c r="D177" s="730">
        <v>4005</v>
      </c>
      <c r="E177" s="731" t="s">
        <v>142</v>
      </c>
      <c r="F177" s="731" t="s">
        <v>354</v>
      </c>
      <c r="G177" s="732" t="s">
        <v>110</v>
      </c>
      <c r="H177" s="595" t="str">
        <f t="shared" si="3"/>
        <v>64005</v>
      </c>
    </row>
    <row r="178" spans="1:8" x14ac:dyDescent="0.35">
      <c r="A178" s="597"/>
      <c r="B178" s="597"/>
      <c r="D178" s="598"/>
      <c r="E178" s="597"/>
      <c r="F178" s="597"/>
      <c r="G178" s="597"/>
    </row>
    <row r="179" spans="1:8" x14ac:dyDescent="0.35">
      <c r="A179" s="597">
        <v>0</v>
      </c>
      <c r="B179" s="597"/>
      <c r="D179" s="598"/>
      <c r="E179" s="597"/>
      <c r="F179" s="597"/>
      <c r="G179" s="597"/>
    </row>
    <row r="180" spans="1:8" s="146" customFormat="1" x14ac:dyDescent="0.35">
      <c r="A180" s="597">
        <v>0</v>
      </c>
      <c r="B180" s="597"/>
      <c r="C180" s="595"/>
      <c r="D180" s="598"/>
      <c r="E180" s="597" t="s">
        <v>277</v>
      </c>
      <c r="F180" s="597"/>
      <c r="G180" s="597"/>
      <c r="H180" s="595"/>
    </row>
    <row r="181" spans="1:8" s="146" customFormat="1" x14ac:dyDescent="0.35">
      <c r="A181" s="597">
        <v>0</v>
      </c>
      <c r="B181" s="597"/>
      <c r="C181" s="595"/>
      <c r="D181" s="598"/>
      <c r="E181" s="597"/>
      <c r="F181" s="597"/>
      <c r="G181" s="597"/>
      <c r="H181" s="595"/>
    </row>
    <row r="182" spans="1:8" x14ac:dyDescent="0.35">
      <c r="A182" s="597">
        <v>0</v>
      </c>
      <c r="B182" s="597"/>
      <c r="D182" s="598"/>
      <c r="E182" s="597" t="s">
        <v>413</v>
      </c>
      <c r="F182" s="597"/>
      <c r="G182" s="59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57D0A-8E38-4CC5-8EA5-8769F1AD7A53}">
  <sheetPr>
    <pageSetUpPr fitToPage="1"/>
  </sheetPr>
  <dimension ref="A1:O16"/>
  <sheetViews>
    <sheetView showGridLines="0" showRowColHeaders="0" zoomScale="89" zoomScaleNormal="89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1" sqref="M1:N1"/>
    </sheetView>
  </sheetViews>
  <sheetFormatPr defaultColWidth="10.54296875" defaultRowHeight="15.5" x14ac:dyDescent="0.35"/>
  <cols>
    <col min="1" max="1" width="8.81640625" style="234" bestFit="1" customWidth="1"/>
    <col min="2" max="2" width="43.6328125" style="455" bestFit="1" customWidth="1"/>
    <col min="3" max="3" width="13" style="455" bestFit="1" customWidth="1"/>
    <col min="4" max="4" width="11.08984375" style="455" customWidth="1"/>
    <col min="5" max="5" width="10.54296875" style="455"/>
    <col min="6" max="6" width="13.453125" style="455" customWidth="1"/>
    <col min="7" max="7" width="12.6328125" style="455" customWidth="1"/>
    <col min="8" max="8" width="14" style="234" customWidth="1"/>
    <col min="9" max="9" width="12.26953125" style="234" bestFit="1" customWidth="1"/>
    <col min="10" max="10" width="3.453125" style="234" customWidth="1"/>
    <col min="11" max="11" width="12.54296875" style="234" customWidth="1"/>
    <col min="12" max="12" width="3.453125" style="234" customWidth="1"/>
    <col min="13" max="13" width="12.1796875" style="234" bestFit="1" customWidth="1"/>
    <col min="14" max="14" width="14.7265625" style="234" customWidth="1"/>
    <col min="15" max="15" width="4.36328125" style="234" customWidth="1"/>
    <col min="16" max="16384" width="10.54296875" style="455"/>
  </cols>
  <sheetData>
    <row r="1" spans="1:15" ht="32.5" x14ac:dyDescent="0.65">
      <c r="A1" s="453" t="s">
        <v>371</v>
      </c>
      <c r="B1" s="454"/>
      <c r="G1" s="456"/>
      <c r="H1" s="756" t="s">
        <v>76</v>
      </c>
      <c r="I1" s="757"/>
      <c r="M1" s="761">
        <v>44242.476736111108</v>
      </c>
      <c r="N1" s="761"/>
    </row>
    <row r="2" spans="1:15" ht="33" thickBot="1" x14ac:dyDescent="0.7">
      <c r="A2" s="453"/>
      <c r="B2" s="454"/>
      <c r="H2" s="758"/>
      <c r="I2" s="759"/>
    </row>
    <row r="3" spans="1:15" ht="108.5" x14ac:dyDescent="0.35">
      <c r="A3" s="235" t="s">
        <v>114</v>
      </c>
      <c r="B3" s="235" t="s">
        <v>111</v>
      </c>
      <c r="C3" s="235" t="s">
        <v>357</v>
      </c>
      <c r="D3" s="235" t="s">
        <v>206</v>
      </c>
      <c r="E3" s="235" t="s">
        <v>358</v>
      </c>
      <c r="F3" s="235" t="s">
        <v>359</v>
      </c>
      <c r="G3" s="236" t="s">
        <v>360</v>
      </c>
      <c r="H3" s="236" t="s">
        <v>246</v>
      </c>
      <c r="I3" s="236" t="s">
        <v>247</v>
      </c>
      <c r="K3" s="236" t="s">
        <v>372</v>
      </c>
      <c r="M3" s="237" t="s">
        <v>75</v>
      </c>
      <c r="N3" s="237" t="s">
        <v>248</v>
      </c>
    </row>
    <row r="4" spans="1:15" ht="16" thickBot="1" x14ac:dyDescent="0.4">
      <c r="A4" s="457">
        <v>7038</v>
      </c>
      <c r="B4" s="458" t="s">
        <v>249</v>
      </c>
      <c r="C4" s="459">
        <v>90</v>
      </c>
      <c r="D4" s="459">
        <v>90</v>
      </c>
      <c r="E4" s="459">
        <v>90</v>
      </c>
      <c r="F4" s="460">
        <v>19301</v>
      </c>
      <c r="G4" s="238">
        <v>1737090</v>
      </c>
      <c r="H4" s="238"/>
      <c r="I4" s="238">
        <v>1737090</v>
      </c>
      <c r="K4" s="238"/>
      <c r="M4" s="461">
        <v>900000</v>
      </c>
      <c r="N4" s="461">
        <v>837090</v>
      </c>
      <c r="O4" s="244">
        <v>0</v>
      </c>
    </row>
    <row r="5" spans="1:15" ht="16" thickBot="1" x14ac:dyDescent="0.4">
      <c r="A5" s="457">
        <v>7010</v>
      </c>
      <c r="B5" s="458" t="s">
        <v>250</v>
      </c>
      <c r="C5" s="459">
        <v>256</v>
      </c>
      <c r="D5" s="459">
        <v>256</v>
      </c>
      <c r="E5" s="459">
        <v>256</v>
      </c>
      <c r="F5" s="460">
        <v>18955.108774110322</v>
      </c>
      <c r="G5" s="238">
        <v>4852507.8461722424</v>
      </c>
      <c r="H5" s="238"/>
      <c r="I5" s="238">
        <v>4852507.8461722424</v>
      </c>
      <c r="K5" s="238">
        <v>8955.108774110322</v>
      </c>
      <c r="M5" s="461">
        <v>2560000</v>
      </c>
      <c r="N5" s="461">
        <v>2283552.7373981322</v>
      </c>
      <c r="O5" s="244">
        <v>5.7843863032758236E-10</v>
      </c>
    </row>
    <row r="6" spans="1:15" ht="16" thickBot="1" x14ac:dyDescent="0.4">
      <c r="A6" s="457">
        <v>7040</v>
      </c>
      <c r="B6" s="458" t="s">
        <v>251</v>
      </c>
      <c r="C6" s="459">
        <v>108</v>
      </c>
      <c r="D6" s="459">
        <v>108</v>
      </c>
      <c r="E6" s="459">
        <v>108</v>
      </c>
      <c r="F6" s="460">
        <v>21228.220669662842</v>
      </c>
      <c r="G6" s="238">
        <v>2292647.832323587</v>
      </c>
      <c r="H6" s="238"/>
      <c r="I6" s="238">
        <v>2292647.832323587</v>
      </c>
      <c r="K6" s="238">
        <v>157195.08937527979</v>
      </c>
      <c r="M6" s="461">
        <v>1080000</v>
      </c>
      <c r="N6" s="461">
        <v>1055452.7429483072</v>
      </c>
      <c r="O6" s="244">
        <v>0</v>
      </c>
    </row>
    <row r="7" spans="1:15" ht="16" thickBot="1" x14ac:dyDescent="0.4">
      <c r="A7" s="457">
        <v>7041</v>
      </c>
      <c r="B7" s="458" t="s">
        <v>252</v>
      </c>
      <c r="C7" s="459">
        <v>94</v>
      </c>
      <c r="D7" s="459">
        <v>94</v>
      </c>
      <c r="E7" s="459">
        <v>94</v>
      </c>
      <c r="F7" s="460">
        <v>20825.389725020243</v>
      </c>
      <c r="G7" s="238">
        <v>1957586.6341519027</v>
      </c>
      <c r="H7" s="238"/>
      <c r="I7" s="238">
        <v>1957586.6341519027</v>
      </c>
      <c r="K7" s="238">
        <v>119079.28697522267</v>
      </c>
      <c r="M7" s="461">
        <v>940000</v>
      </c>
      <c r="N7" s="461">
        <v>898507.34717668011</v>
      </c>
      <c r="O7" s="244">
        <v>0</v>
      </c>
    </row>
    <row r="8" spans="1:15" ht="16" thickBot="1" x14ac:dyDescent="0.4">
      <c r="A8" s="457">
        <v>7036</v>
      </c>
      <c r="B8" s="458" t="s">
        <v>253</v>
      </c>
      <c r="C8" s="459">
        <v>136</v>
      </c>
      <c r="D8" s="459">
        <v>136</v>
      </c>
      <c r="E8" s="459">
        <v>136</v>
      </c>
      <c r="F8" s="460">
        <v>19585.931882202993</v>
      </c>
      <c r="G8" s="238">
        <v>2663686.7359796069</v>
      </c>
      <c r="H8" s="238"/>
      <c r="I8" s="238">
        <v>2663686.7359796069</v>
      </c>
      <c r="K8" s="238"/>
      <c r="M8" s="461">
        <v>1360000</v>
      </c>
      <c r="N8" s="461">
        <v>1303686.7359796071</v>
      </c>
      <c r="O8" s="244">
        <v>4.6566128730773926E-10</v>
      </c>
    </row>
    <row r="9" spans="1:15" ht="16" thickBot="1" x14ac:dyDescent="0.4">
      <c r="A9" s="457">
        <v>7023</v>
      </c>
      <c r="B9" s="458" t="s">
        <v>254</v>
      </c>
      <c r="C9" s="459">
        <v>103</v>
      </c>
      <c r="D9" s="459">
        <v>103</v>
      </c>
      <c r="E9" s="459">
        <v>103</v>
      </c>
      <c r="F9" s="460">
        <v>20572.791196735823</v>
      </c>
      <c r="G9" s="238">
        <v>2118997.4932637899</v>
      </c>
      <c r="H9" s="238"/>
      <c r="I9" s="238">
        <v>2118997.4932637899</v>
      </c>
      <c r="K9" s="238"/>
      <c r="M9" s="461">
        <v>1030000</v>
      </c>
      <c r="N9" s="461">
        <v>1088997.4932637897</v>
      </c>
      <c r="O9" s="244">
        <v>-4.6566128730773926E-10</v>
      </c>
    </row>
    <row r="10" spans="1:15" ht="16" thickBot="1" x14ac:dyDescent="0.4">
      <c r="A10" s="457">
        <v>7043</v>
      </c>
      <c r="B10" s="458" t="s">
        <v>255</v>
      </c>
      <c r="C10" s="459">
        <v>184</v>
      </c>
      <c r="D10" s="459">
        <v>184</v>
      </c>
      <c r="E10" s="459">
        <v>184</v>
      </c>
      <c r="F10" s="460">
        <v>19581.997511916961</v>
      </c>
      <c r="G10" s="238">
        <v>3603087.5421927208</v>
      </c>
      <c r="H10" s="238"/>
      <c r="I10" s="238">
        <v>3603087.5421927208</v>
      </c>
      <c r="K10" s="238"/>
      <c r="M10" s="461">
        <v>1840000</v>
      </c>
      <c r="N10" s="461">
        <v>1763087.5421927208</v>
      </c>
      <c r="O10" s="244">
        <v>0</v>
      </c>
    </row>
    <row r="11" spans="1:15" ht="16" thickBot="1" x14ac:dyDescent="0.4">
      <c r="A11" s="457">
        <v>7024</v>
      </c>
      <c r="B11" s="458" t="s">
        <v>256</v>
      </c>
      <c r="C11" s="459">
        <v>190</v>
      </c>
      <c r="D11" s="459">
        <v>190</v>
      </c>
      <c r="E11" s="459">
        <v>190</v>
      </c>
      <c r="F11" s="460">
        <v>20644.67021226979</v>
      </c>
      <c r="G11" s="238">
        <v>3922487.3403312601</v>
      </c>
      <c r="H11" s="239">
        <v>372034</v>
      </c>
      <c r="I11" s="238">
        <v>4294521.3403312601</v>
      </c>
      <c r="K11" s="238"/>
      <c r="M11" s="461">
        <v>1900000</v>
      </c>
      <c r="N11" s="461">
        <v>2394521.3403312601</v>
      </c>
      <c r="O11" s="244">
        <v>0</v>
      </c>
    </row>
    <row r="12" spans="1:15" ht="16" thickBot="1" x14ac:dyDescent="0.4">
      <c r="A12" s="457">
        <v>7013</v>
      </c>
      <c r="B12" s="458" t="s">
        <v>257</v>
      </c>
      <c r="C12" s="459">
        <v>98</v>
      </c>
      <c r="D12" s="459">
        <v>97</v>
      </c>
      <c r="E12" s="459">
        <v>97.416666666666671</v>
      </c>
      <c r="F12" s="460">
        <v>19371.828596168099</v>
      </c>
      <c r="G12" s="238">
        <v>1887138.9690767091</v>
      </c>
      <c r="H12" s="238"/>
      <c r="I12" s="238">
        <v>1887138.9690767091</v>
      </c>
      <c r="K12" s="238"/>
      <c r="M12" s="461">
        <v>974166.66666666674</v>
      </c>
      <c r="N12" s="461">
        <v>912972.30241004238</v>
      </c>
      <c r="O12" s="244">
        <v>0</v>
      </c>
    </row>
    <row r="13" spans="1:15" ht="16" thickBot="1" x14ac:dyDescent="0.4">
      <c r="A13" s="457">
        <v>7026</v>
      </c>
      <c r="B13" s="458" t="s">
        <v>258</v>
      </c>
      <c r="C13" s="459">
        <v>100</v>
      </c>
      <c r="D13" s="459">
        <v>100</v>
      </c>
      <c r="E13" s="459">
        <v>100</v>
      </c>
      <c r="F13" s="460">
        <v>20614.888819184613</v>
      </c>
      <c r="G13" s="238">
        <v>2061488.8819184613</v>
      </c>
      <c r="H13" s="238"/>
      <c r="I13" s="238">
        <v>2061488.8819184613</v>
      </c>
      <c r="K13" s="238"/>
      <c r="M13" s="461">
        <v>1000000</v>
      </c>
      <c r="N13" s="461">
        <v>1061488.8819184613</v>
      </c>
      <c r="O13" s="244">
        <v>0</v>
      </c>
    </row>
    <row r="14" spans="1:15" ht="16" thickBot="1" x14ac:dyDescent="0.4">
      <c r="A14" s="462"/>
      <c r="B14" s="463" t="s">
        <v>144</v>
      </c>
      <c r="C14" s="464">
        <v>1359</v>
      </c>
      <c r="D14" s="464">
        <v>1358</v>
      </c>
      <c r="E14" s="464">
        <v>1358.4166666666667</v>
      </c>
      <c r="F14" s="240"/>
      <c r="G14" s="241">
        <v>27096719.27541028</v>
      </c>
      <c r="H14" s="241">
        <v>372034</v>
      </c>
      <c r="I14" s="241">
        <v>27468753.27541028</v>
      </c>
      <c r="K14" s="241">
        <v>285229.48512461281</v>
      </c>
      <c r="M14" s="238">
        <v>13584166.666666666</v>
      </c>
      <c r="N14" s="238">
        <v>13599357.123619001</v>
      </c>
    </row>
    <row r="15" spans="1:15" x14ac:dyDescent="0.35">
      <c r="A15" s="465"/>
      <c r="C15" s="466"/>
    </row>
    <row r="16" spans="1:15" x14ac:dyDescent="0.35">
      <c r="I16" s="244"/>
      <c r="K16" s="244"/>
    </row>
  </sheetData>
  <mergeCells count="2">
    <mergeCell ref="M1:N1"/>
    <mergeCell ref="H1:I2"/>
  </mergeCells>
  <hyperlinks>
    <hyperlink ref="H1:I2" location="Instructions!C17" tooltip="Link to Instructions" display="Back to Main Menu" xr:uid="{73520539-8750-4331-9811-21C6868B5210}"/>
  </hyperlinks>
  <pageMargins left="0.25" right="0.25" top="0.75" bottom="0.75" header="0.3" footer="0.3"/>
  <pageSetup paperSize="9" scale="83" orientation="landscape" r:id="rId1"/>
  <headerFooter>
    <oddFooter>&amp;L&amp;Z&amp;F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indexed="40"/>
    <pageSetUpPr fitToPage="1"/>
  </sheetPr>
  <dimension ref="A1:R97"/>
  <sheetViews>
    <sheetView showGridLines="0" zoomScaleNormal="100" workbookViewId="0">
      <pane xSplit="1" ySplit="14" topLeftCell="B84" activePane="bottomRight" state="frozen"/>
      <selection pane="topRight" activeCell="B1" sqref="B1"/>
      <selection pane="bottomLeft" activeCell="A14" sqref="A14"/>
      <selection pane="bottomRight" activeCell="H1" sqref="H1:I2"/>
    </sheetView>
  </sheetViews>
  <sheetFormatPr defaultColWidth="10.6328125" defaultRowHeight="13" outlineLevelRow="1" outlineLevelCol="1" x14ac:dyDescent="0.3"/>
  <cols>
    <col min="1" max="1" width="7.6328125" style="24" bestFit="1" customWidth="1"/>
    <col min="2" max="2" width="37.6328125" style="28" customWidth="1"/>
    <col min="3" max="3" width="18" style="28" customWidth="1"/>
    <col min="4" max="4" width="12.453125" style="28" customWidth="1"/>
    <col min="5" max="5" width="13.54296875" style="28" customWidth="1"/>
    <col min="6" max="6" width="12.36328125" style="26" customWidth="1"/>
    <col min="7" max="7" width="11.36328125" style="27" customWidth="1"/>
    <col min="8" max="8" width="10.6328125" style="28" customWidth="1"/>
    <col min="9" max="9" width="10.6328125" style="28" bestFit="1" customWidth="1"/>
    <col min="10" max="10" width="10.6328125" style="28" customWidth="1"/>
    <col min="11" max="11" width="24.36328125" style="28" hidden="1" customWidth="1" outlineLevel="1"/>
    <col min="12" max="12" width="12.6328125" style="28" hidden="1" customWidth="1" outlineLevel="1"/>
    <col min="13" max="13" width="10.6328125" style="154" hidden="1" customWidth="1" outlineLevel="1"/>
    <col min="14" max="14" width="5" style="28" hidden="1" customWidth="1" outlineLevel="1"/>
    <col min="15" max="15" width="10.6328125" style="28" hidden="1" customWidth="1" outlineLevel="1"/>
    <col min="16" max="16" width="8.90625" style="28" hidden="1" customWidth="1" outlineLevel="1"/>
    <col min="17" max="17" width="10.6328125" style="28" hidden="1" customWidth="1" outlineLevel="1"/>
    <col min="18" max="18" width="11.453125" style="28" bestFit="1" customWidth="1" collapsed="1"/>
    <col min="19" max="16384" width="10.6328125" style="28"/>
  </cols>
  <sheetData>
    <row r="1" spans="1:16" ht="22.5" x14ac:dyDescent="0.45">
      <c r="B1" s="25" t="s">
        <v>273</v>
      </c>
      <c r="C1" s="25"/>
      <c r="D1" s="25"/>
      <c r="E1" s="25"/>
      <c r="H1" s="777" t="s">
        <v>76</v>
      </c>
      <c r="I1" s="778"/>
    </row>
    <row r="2" spans="1:16" ht="24" customHeight="1" thickBot="1" x14ac:dyDescent="0.35">
      <c r="H2" s="779"/>
      <c r="I2" s="780"/>
    </row>
    <row r="3" spans="1:16" ht="24" customHeight="1" x14ac:dyDescent="0.45">
      <c r="B3" s="25" t="str">
        <f>VLOOKUP(B4,A94:B96,2,FALSE)</f>
        <v>Oasis Academy Don Valley</v>
      </c>
      <c r="H3" s="136"/>
      <c r="I3" s="223" t="e">
        <f>VLOOKUP(G5,#REF!,4,FALSE)</f>
        <v>#REF!</v>
      </c>
    </row>
    <row r="4" spans="1:16" s="32" customFormat="1" ht="12.5" x14ac:dyDescent="0.25">
      <c r="A4" s="29"/>
      <c r="B4" s="183">
        <v>3</v>
      </c>
      <c r="C4" s="135"/>
      <c r="D4" s="30"/>
      <c r="E4" s="31"/>
      <c r="G4" s="141">
        <f>VLOOKUP(B4,C94:I96,7,FALSE)</f>
        <v>0</v>
      </c>
      <c r="K4" s="766"/>
      <c r="L4" s="766"/>
      <c r="M4" s="766"/>
      <c r="N4" s="766"/>
      <c r="O4" s="766"/>
      <c r="P4" s="766"/>
    </row>
    <row r="5" spans="1:16" outlineLevel="1" x14ac:dyDescent="0.3">
      <c r="A5" s="214"/>
      <c r="B5" s="33"/>
      <c r="C5" s="33"/>
      <c r="D5" s="33"/>
      <c r="E5" s="33"/>
      <c r="F5" s="34">
        <f>VLOOKUP(B4,C94:D96,2,FALSE)</f>
        <v>64005</v>
      </c>
      <c r="G5" s="35">
        <f>VLOOKUP(F5,D94:E96,2,FALSE)</f>
        <v>4005</v>
      </c>
      <c r="H5" s="138">
        <f>IF(VLOOKUP(G5,E94:F96,2,FALSE)=0,G5,VLOOKUP(G5,E94:F96,2,FALSE))</f>
        <v>4005</v>
      </c>
      <c r="I5" s="139" t="str">
        <f>7&amp;H5</f>
        <v>74005</v>
      </c>
      <c r="J5" s="140">
        <f>F5-I5</f>
        <v>-10000</v>
      </c>
      <c r="K5" s="148"/>
      <c r="L5" s="148"/>
      <c r="M5" s="766"/>
      <c r="N5" s="766"/>
      <c r="O5" s="766"/>
      <c r="P5" s="766"/>
    </row>
    <row r="6" spans="1:16" x14ac:dyDescent="0.3">
      <c r="A6" s="215"/>
      <c r="B6" s="36" t="s">
        <v>0</v>
      </c>
      <c r="C6" s="36"/>
      <c r="D6" s="36"/>
      <c r="E6" s="37"/>
      <c r="F6" s="767" t="s">
        <v>1</v>
      </c>
      <c r="G6" s="768"/>
      <c r="H6" s="769" t="s">
        <v>2</v>
      </c>
      <c r="I6" s="768"/>
      <c r="K6" s="149"/>
      <c r="L6" s="149"/>
      <c r="M6" s="153"/>
      <c r="N6" s="150"/>
      <c r="O6" s="150"/>
      <c r="P6" s="100"/>
    </row>
    <row r="7" spans="1:16" x14ac:dyDescent="0.3">
      <c r="A7" s="215"/>
      <c r="B7" s="38"/>
      <c r="C7" s="38"/>
      <c r="D7" s="38"/>
      <c r="E7" s="39"/>
      <c r="F7" s="143" t="s">
        <v>155</v>
      </c>
      <c r="G7" s="40" t="s">
        <v>227</v>
      </c>
      <c r="H7" s="40" t="s">
        <v>3</v>
      </c>
      <c r="I7" s="40" t="s">
        <v>4</v>
      </c>
      <c r="K7" s="150"/>
      <c r="L7" s="150"/>
      <c r="M7" s="155"/>
      <c r="N7" s="151"/>
      <c r="O7" s="150"/>
      <c r="P7" s="100"/>
    </row>
    <row r="8" spans="1:16" x14ac:dyDescent="0.3">
      <c r="A8" s="215"/>
      <c r="B8" s="42" t="s">
        <v>261</v>
      </c>
      <c r="C8" s="38"/>
      <c r="D8" s="38"/>
      <c r="E8" s="39"/>
      <c r="F8" s="228">
        <f>IF($G$5=4005,'[41]Budget Share'!$F$198,IF($G$5=4014,'[41]Budget Share'!$F$190,IF($G$5=4225,'[41]Budget Share'!$F$194)))</f>
        <v>246.25</v>
      </c>
      <c r="G8" s="44">
        <f>D18</f>
        <v>314.25</v>
      </c>
      <c r="H8" s="45">
        <f t="shared" ref="H8" si="0">G8-F8</f>
        <v>68</v>
      </c>
      <c r="I8" s="46">
        <f>(H8/F8)*100</f>
        <v>27.614213197969544</v>
      </c>
      <c r="K8" s="150"/>
      <c r="L8" s="150"/>
      <c r="M8" s="155"/>
      <c r="N8" s="151"/>
      <c r="O8" s="150"/>
      <c r="P8" s="100"/>
    </row>
    <row r="9" spans="1:16" x14ac:dyDescent="0.3">
      <c r="A9" s="216"/>
      <c r="B9" s="42" t="s">
        <v>223</v>
      </c>
      <c r="C9" s="42"/>
      <c r="D9" s="42"/>
      <c r="E9" s="43"/>
      <c r="F9" s="44">
        <f>VLOOKUP($H$5,[41]AWPU!$E:$I,3,FALSE)</f>
        <v>87.5</v>
      </c>
      <c r="G9" s="44">
        <f>VLOOKUP($G$5,[42]AWPU!$E:$I,3,FALSE)</f>
        <v>205.5</v>
      </c>
      <c r="H9" s="45">
        <f t="shared" ref="H9:H12" si="1">G9-F9</f>
        <v>118</v>
      </c>
      <c r="I9" s="46">
        <f>(H9/F9)*100</f>
        <v>134.85714285714286</v>
      </c>
      <c r="K9" s="152"/>
      <c r="L9" s="150"/>
      <c r="M9" s="156"/>
      <c r="N9" s="150"/>
      <c r="O9" s="150"/>
      <c r="P9" s="100"/>
    </row>
    <row r="10" spans="1:16" x14ac:dyDescent="0.3">
      <c r="A10" s="216"/>
      <c r="B10" s="42" t="s">
        <v>224</v>
      </c>
      <c r="C10" s="42"/>
      <c r="D10" s="42"/>
      <c r="E10" s="43"/>
      <c r="F10" s="44">
        <f>VLOOKUP($H$5,[41]AWPU!$E:$I,4,FALSE)</f>
        <v>0</v>
      </c>
      <c r="G10" s="44">
        <f>VLOOKUP($G$5,[42]AWPU!$E:$I,4,FALSE)</f>
        <v>0</v>
      </c>
      <c r="H10" s="45">
        <f t="shared" si="1"/>
        <v>0</v>
      </c>
      <c r="I10" s="46" t="str">
        <f>IF(N10=TRUE,"n/a",IF(F10=0,"n/a",(H10/F10)*100))</f>
        <v>n/a</v>
      </c>
      <c r="K10" s="152"/>
      <c r="L10" s="150"/>
      <c r="M10" s="156"/>
      <c r="N10" s="150"/>
      <c r="O10" s="150"/>
      <c r="P10" s="100"/>
    </row>
    <row r="11" spans="1:16" x14ac:dyDescent="0.3">
      <c r="A11" s="216"/>
      <c r="B11" s="42" t="s">
        <v>191</v>
      </c>
      <c r="C11" s="42"/>
      <c r="D11" s="42"/>
      <c r="E11" s="43"/>
      <c r="F11" s="225">
        <f>IF(ISERROR(VLOOKUP(H5,#REF!,8,FALSE)),0,VLOOKUP(H5,#REF!,8,FALSE))</f>
        <v>0</v>
      </c>
      <c r="G11" s="225">
        <f>IF(ISERROR(VLOOKUP(G5,#REF!,10,FALSE)),0,VLOOKUP(G5,#REF!,10,FALSE))</f>
        <v>0</v>
      </c>
      <c r="H11" s="226">
        <f t="shared" si="1"/>
        <v>0</v>
      </c>
      <c r="I11" s="46" t="str">
        <f>IF(N11=TRUE,"n/a",IF(F11=0,"n/a",(H11/F11)*100))</f>
        <v>n/a</v>
      </c>
      <c r="K11" s="152"/>
      <c r="L11" s="150"/>
      <c r="M11" s="156"/>
      <c r="N11" s="150"/>
      <c r="O11" s="150"/>
      <c r="P11" s="100"/>
    </row>
    <row r="12" spans="1:16" x14ac:dyDescent="0.3">
      <c r="A12" s="215" t="s">
        <v>13</v>
      </c>
      <c r="B12" s="47" t="s">
        <v>5</v>
      </c>
      <c r="C12" s="47"/>
      <c r="D12" s="47"/>
      <c r="E12" s="48"/>
      <c r="F12" s="224">
        <f>SUM(F8:F10)</f>
        <v>333.75</v>
      </c>
      <c r="G12" s="227">
        <f>SUM(G8:G10)</f>
        <v>519.75</v>
      </c>
      <c r="H12" s="49">
        <f t="shared" si="1"/>
        <v>186</v>
      </c>
      <c r="I12" s="50">
        <f>(H12/F12)*100</f>
        <v>55.730337078651679</v>
      </c>
      <c r="K12" s="149"/>
      <c r="L12" s="149"/>
      <c r="M12" s="153"/>
      <c r="N12" s="150"/>
      <c r="O12" s="150"/>
      <c r="P12" s="100"/>
    </row>
    <row r="13" spans="1:16" x14ac:dyDescent="0.3">
      <c r="A13" s="215" t="s">
        <v>14</v>
      </c>
      <c r="B13" s="42"/>
      <c r="C13" s="41"/>
      <c r="D13" s="41"/>
      <c r="E13" s="41"/>
      <c r="F13" s="770" t="s">
        <v>6</v>
      </c>
      <c r="G13" s="771"/>
      <c r="H13" s="772" t="s">
        <v>2</v>
      </c>
      <c r="I13" s="773"/>
      <c r="K13" s="152"/>
      <c r="L13" s="152"/>
      <c r="M13" s="156"/>
      <c r="N13" s="151"/>
      <c r="O13" s="150"/>
      <c r="P13" s="100"/>
    </row>
    <row r="14" spans="1:16" x14ac:dyDescent="0.3">
      <c r="A14" s="215" t="s">
        <v>6</v>
      </c>
      <c r="B14" s="48" t="s">
        <v>12</v>
      </c>
      <c r="C14" s="51" t="s">
        <v>59</v>
      </c>
      <c r="D14" s="52" t="s">
        <v>66</v>
      </c>
      <c r="E14" s="52" t="s">
        <v>67</v>
      </c>
      <c r="F14" s="143" t="s">
        <v>155</v>
      </c>
      <c r="G14" s="40" t="s">
        <v>227</v>
      </c>
      <c r="H14" s="53" t="s">
        <v>8</v>
      </c>
      <c r="I14" s="53" t="s">
        <v>4</v>
      </c>
      <c r="K14" s="152"/>
      <c r="L14" s="152"/>
      <c r="M14" s="156"/>
      <c r="N14" s="151"/>
      <c r="O14" s="150"/>
      <c r="P14" s="100"/>
    </row>
    <row r="15" spans="1:16" s="56" customFormat="1" ht="12" customHeight="1" x14ac:dyDescent="0.3">
      <c r="A15" s="215" t="s">
        <v>7</v>
      </c>
      <c r="B15" s="54"/>
      <c r="C15" s="54"/>
      <c r="D15" s="54"/>
      <c r="E15" s="55"/>
      <c r="G15" s="57"/>
      <c r="K15" s="150"/>
      <c r="L15" s="150"/>
      <c r="M15" s="156"/>
      <c r="N15" s="151"/>
      <c r="O15" s="150"/>
      <c r="P15" s="100"/>
    </row>
    <row r="16" spans="1:16" x14ac:dyDescent="0.3">
      <c r="A16" s="215"/>
      <c r="B16" s="54"/>
      <c r="C16" s="54"/>
      <c r="D16" s="54"/>
      <c r="E16" s="58"/>
      <c r="F16" s="59"/>
      <c r="G16" s="60"/>
      <c r="H16" s="23"/>
      <c r="I16" s="61"/>
      <c r="K16" s="152"/>
      <c r="L16" s="152"/>
      <c r="M16" s="156"/>
      <c r="N16" s="150"/>
      <c r="O16" s="150"/>
      <c r="P16" s="100"/>
    </row>
    <row r="17" spans="1:18" x14ac:dyDescent="0.3">
      <c r="A17" s="215"/>
      <c r="B17" s="54"/>
      <c r="C17" s="54"/>
      <c r="D17" s="54"/>
      <c r="E17" s="58"/>
      <c r="F17" s="59"/>
      <c r="G17" s="60"/>
      <c r="H17" s="23"/>
      <c r="I17" s="61"/>
      <c r="M17" s="190">
        <v>1819</v>
      </c>
      <c r="N17" s="191">
        <v>1920</v>
      </c>
      <c r="O17" s="62"/>
    </row>
    <row r="18" spans="1:18" x14ac:dyDescent="0.3">
      <c r="A18" s="28">
        <v>100101</v>
      </c>
      <c r="B18" s="28" t="s">
        <v>46</v>
      </c>
      <c r="C18" s="16" t="s">
        <v>47</v>
      </c>
      <c r="D18" s="228">
        <f>IF($G$5=4014,'[42]Budget Share'!$F$190,IF($G$5=4225,'[42]Budget Share'!$F$194,IF($G$5=4005,'[42]Budget Share'!$F$198)))</f>
        <v>314.25</v>
      </c>
      <c r="E18" s="63">
        <f>Primary!G16</f>
        <v>3462.8685792877927</v>
      </c>
      <c r="F18" s="100">
        <f>IF($G$5=4005,'[41]Budget Share'!$G$198,IF($G$5=4014,'[41]Budget Share'!$G$190,IF($G$5=4225,'[41]Budget Share'!$G$194)))</f>
        <v>700278.17942831223</v>
      </c>
      <c r="G18" s="65">
        <f>E18*D18</f>
        <v>1088206.4510411888</v>
      </c>
      <c r="H18" s="22">
        <f>G18-F18</f>
        <v>387928.27161287656</v>
      </c>
      <c r="I18" s="66">
        <f>IF(N18=TRUE,"n/a",IF(F18=0,"n/a",(H18/F18)*100))</f>
        <v>55.396310067746292</v>
      </c>
      <c r="K18" s="62"/>
      <c r="L18" s="62"/>
      <c r="M18" s="158"/>
      <c r="N18" s="163"/>
      <c r="O18" s="67"/>
      <c r="P18" s="67"/>
      <c r="R18" s="68"/>
    </row>
    <row r="19" spans="1:18" x14ac:dyDescent="0.3">
      <c r="A19" s="28"/>
      <c r="C19" s="16" t="s">
        <v>73</v>
      </c>
      <c r="D19" s="228">
        <f>G9</f>
        <v>205.5</v>
      </c>
      <c r="E19" s="63">
        <f>'[42]pro-forma check'!$E6</f>
        <v>3673.2713856832925</v>
      </c>
      <c r="F19" s="64">
        <f>VLOOKUP($H$5,[41]AWPU!$E:$M,7,FALSE)</f>
        <v>304111.94219186279</v>
      </c>
      <c r="G19" s="65">
        <f>E19*D19</f>
        <v>754857.26975791657</v>
      </c>
      <c r="H19" s="22">
        <f>G19-F19</f>
        <v>450745.32756605378</v>
      </c>
      <c r="I19" s="66">
        <f>IF(N19=TRUE,"n/a",IF(F19=0,"n/a",(H19/F19)*100))</f>
        <v>148.21691128514797</v>
      </c>
      <c r="K19" s="62" t="s">
        <v>46</v>
      </c>
      <c r="L19" s="62"/>
      <c r="M19" s="158">
        <v>4</v>
      </c>
      <c r="N19" s="163">
        <v>4</v>
      </c>
      <c r="O19" s="67">
        <f>D19*E19</f>
        <v>754857.26975791657</v>
      </c>
      <c r="P19" s="67">
        <f>G19-O19</f>
        <v>0</v>
      </c>
      <c r="R19" s="68"/>
    </row>
    <row r="20" spans="1:18" x14ac:dyDescent="0.3">
      <c r="A20" s="134"/>
      <c r="B20" s="16"/>
      <c r="C20" s="16" t="s">
        <v>74</v>
      </c>
      <c r="D20" s="228">
        <f>G10</f>
        <v>0</v>
      </c>
      <c r="E20" s="63">
        <f>'[42]pro-forma check'!$E7</f>
        <v>4478.1543038184127</v>
      </c>
      <c r="F20" s="64">
        <f>VLOOKUP($H$5,[41]AWPU!$E:$M,8,FALSE)</f>
        <v>0</v>
      </c>
      <c r="G20" s="65">
        <f>E20*D20</f>
        <v>0</v>
      </c>
      <c r="H20" s="22">
        <f>G20-F20</f>
        <v>0</v>
      </c>
      <c r="I20" s="66" t="str">
        <f>IF(N20=TRUE,"n/a",IF(F20=0,"n/a",(H20/F20)*100))</f>
        <v>n/a</v>
      </c>
      <c r="K20" s="62"/>
      <c r="L20" s="62"/>
      <c r="M20" s="158"/>
      <c r="N20" s="163"/>
      <c r="O20" s="67"/>
      <c r="P20" s="67"/>
      <c r="R20" s="68"/>
    </row>
    <row r="21" spans="1:18" x14ac:dyDescent="0.3">
      <c r="A21" s="215"/>
      <c r="B21" s="16"/>
      <c r="C21" s="16"/>
      <c r="D21" s="16"/>
      <c r="E21" s="69"/>
      <c r="F21" s="64"/>
      <c r="G21" s="65"/>
      <c r="H21" s="22"/>
      <c r="I21" s="66"/>
      <c r="K21" s="62"/>
      <c r="L21" s="62"/>
      <c r="M21" s="158"/>
      <c r="N21" s="163"/>
      <c r="O21" s="67"/>
      <c r="P21" s="67"/>
      <c r="R21" s="68"/>
    </row>
    <row r="22" spans="1:18" s="73" customFormat="1" x14ac:dyDescent="0.3">
      <c r="A22" s="217"/>
      <c r="B22" s="774" t="s">
        <v>61</v>
      </c>
      <c r="C22" s="774"/>
      <c r="D22" s="774"/>
      <c r="E22" s="70">
        <f>VLOOKUP($G$5,'[42]Add Deleg'!$C:$H,5,FALSE)</f>
        <v>44501.842499999992</v>
      </c>
      <c r="F22" s="64"/>
      <c r="G22" s="71"/>
      <c r="H22" s="21"/>
      <c r="I22" s="72"/>
      <c r="J22" s="28"/>
      <c r="K22" s="62"/>
      <c r="L22" s="62"/>
      <c r="M22" s="158"/>
      <c r="N22" s="163"/>
      <c r="O22" s="67"/>
      <c r="P22" s="67"/>
      <c r="R22" s="68"/>
    </row>
    <row r="23" spans="1:18" s="73" customFormat="1" x14ac:dyDescent="0.3">
      <c r="A23" s="217"/>
      <c r="B23" s="774" t="s">
        <v>60</v>
      </c>
      <c r="C23" s="774"/>
      <c r="D23" s="774"/>
      <c r="E23" s="74">
        <f>-VLOOKUP($G$5,'[42]Add Deleg'!$C:$H,6,FALSE)</f>
        <v>-13893.172499999999</v>
      </c>
      <c r="F23" s="64"/>
      <c r="G23" s="75"/>
      <c r="H23" s="22"/>
      <c r="I23" s="66"/>
      <c r="J23" s="28"/>
      <c r="K23" s="62"/>
      <c r="L23" s="62"/>
      <c r="M23" s="158"/>
      <c r="N23" s="163"/>
      <c r="O23" s="67"/>
      <c r="P23" s="67"/>
      <c r="R23" s="68"/>
    </row>
    <row r="24" spans="1:18" s="73" customFormat="1" x14ac:dyDescent="0.3">
      <c r="A24" s="217"/>
      <c r="B24" s="76"/>
      <c r="C24" s="76"/>
      <c r="D24" s="76"/>
      <c r="E24" s="70"/>
      <c r="F24" s="64"/>
      <c r="G24" s="75"/>
      <c r="H24" s="77"/>
      <c r="I24" s="72"/>
      <c r="J24" s="28"/>
      <c r="K24" s="62"/>
      <c r="L24" s="62"/>
      <c r="M24" s="158"/>
      <c r="N24" s="163"/>
      <c r="O24" s="67"/>
      <c r="P24" s="67"/>
      <c r="R24" s="68"/>
    </row>
    <row r="25" spans="1:18" x14ac:dyDescent="0.3">
      <c r="A25" s="215"/>
      <c r="B25" s="16" t="s">
        <v>48</v>
      </c>
      <c r="C25" s="16" t="s">
        <v>262</v>
      </c>
      <c r="D25" s="83">
        <f>IF($G$5=4014,[42]FSM!$I$188,IF($G$5=4225,[42]FSM!$I$192,IF($G$5=4005,[42]FSM!$I$196)))</f>
        <v>92.677118644067747</v>
      </c>
      <c r="E25" s="137">
        <f>Primary!G22</f>
        <v>393.59999999999997</v>
      </c>
      <c r="F25" s="64">
        <f>IF($H$5=4998,'[41]Budget Share'!$H$190,IF($H$5=4225,'[41]Budget Share'!$H$194,IF($H$5=4005,'[41]Budget Share'!$H$198)))</f>
        <v>51584.061142271137</v>
      </c>
      <c r="G25" s="65">
        <f>D25*E25</f>
        <v>36477.713898305061</v>
      </c>
      <c r="H25" s="22">
        <f>G25-F25</f>
        <v>-15106.347243966076</v>
      </c>
      <c r="I25" s="66">
        <f>IF(N25=TRUE,"n/a",IF(F25=0,"n/a",(H25/F25)*100))</f>
        <v>-29.284912644435067</v>
      </c>
      <c r="K25" s="62"/>
      <c r="L25" s="62"/>
      <c r="M25" s="158"/>
      <c r="N25" s="163"/>
      <c r="O25" s="67"/>
      <c r="P25" s="67"/>
      <c r="R25" s="186"/>
    </row>
    <row r="26" spans="1:18" x14ac:dyDescent="0.3">
      <c r="A26" s="215"/>
      <c r="B26" s="16"/>
      <c r="C26" s="16" t="s">
        <v>263</v>
      </c>
      <c r="D26" s="83">
        <f>IF($G$5=4014,[42]FSM!$I$189,IF($G$5=4225,[42]FSM!$I$193,IF($G$5=4005,[42]FSM!$I$197)))</f>
        <v>67.919491525423695</v>
      </c>
      <c r="E26" s="137">
        <f>'[42]pro-forma check'!$E$9</f>
        <v>790.02599964926412</v>
      </c>
      <c r="F26" s="64">
        <f>IF($H$5=4998,'[41]Budget Share'!$H$191,IF($H$5=4225,'[41]Budget Share'!$H$195,IF($H$5=4005,'[41]Budget Share'!$H$199)))</f>
        <v>23530.798589126654</v>
      </c>
      <c r="G26" s="65">
        <f>D26*E26</f>
        <v>53658.164188042574</v>
      </c>
      <c r="H26" s="22">
        <f>G26-F26</f>
        <v>30127.36559891592</v>
      </c>
      <c r="I26" s="66">
        <f>IF(N26=TRUE,"n/a",IF(F26=0,"n/a",(H26/F26)*100))</f>
        <v>128.03375748087646</v>
      </c>
      <c r="K26" s="62" t="s">
        <v>48</v>
      </c>
      <c r="L26" s="62"/>
      <c r="M26" s="158">
        <v>5</v>
      </c>
      <c r="N26" s="163">
        <v>5</v>
      </c>
      <c r="O26" s="67">
        <f t="shared" ref="O26:O57" si="2">D26*E26</f>
        <v>53658.164188042574</v>
      </c>
      <c r="P26" s="67">
        <f t="shared" ref="P26:P57" si="3">G26-O26</f>
        <v>0</v>
      </c>
      <c r="R26" s="186"/>
    </row>
    <row r="27" spans="1:18" x14ac:dyDescent="0.3">
      <c r="A27" s="215"/>
      <c r="B27" s="16"/>
      <c r="C27" s="16"/>
      <c r="D27" s="78"/>
      <c r="E27" s="137"/>
      <c r="F27" s="64"/>
      <c r="G27" s="65"/>
      <c r="H27" s="22"/>
      <c r="I27" s="66"/>
      <c r="K27" s="62"/>
      <c r="L27" s="62"/>
      <c r="M27" s="158"/>
      <c r="N27" s="163"/>
      <c r="O27" s="67"/>
      <c r="P27" s="67"/>
      <c r="R27" s="186"/>
    </row>
    <row r="28" spans="1:18" x14ac:dyDescent="0.3">
      <c r="A28" s="215"/>
      <c r="B28" s="93" t="s">
        <v>264</v>
      </c>
      <c r="C28" s="16" t="s">
        <v>189</v>
      </c>
      <c r="D28" s="78">
        <f>VLOOKUP($G$5,[42]IDACI!$E$155:$AE$157,17,FALSE)</f>
        <v>8.5220338983050805</v>
      </c>
      <c r="E28" s="137">
        <f>Primary!G25</f>
        <v>210.32779559944768</v>
      </c>
      <c r="F28" s="64">
        <f>IF($H$5=4998,[41]IDACI!$AE$155,IF($H$5=4225,[41]IDACI!$AE$156,IF($H$5=4005,[41]IDACI!$AE$157)))</f>
        <v>68332.327754502359</v>
      </c>
      <c r="G28" s="65">
        <f>(D28*E28)+(D29*E29)+(D30*E30)+(D31*E31)+(D32*E32)+(D33*E33)</f>
        <v>137548.79851316521</v>
      </c>
      <c r="H28" s="22">
        <f>G28-F28</f>
        <v>69216.47075866285</v>
      </c>
      <c r="I28" s="66">
        <f>IF(N28=TRUE,"n/a",IF(F28=0,"n/a",(H28/F28)*100))</f>
        <v>101.29388685153087</v>
      </c>
      <c r="K28" s="62"/>
      <c r="L28" s="62"/>
      <c r="M28" s="158"/>
      <c r="N28" s="163"/>
      <c r="O28" s="67"/>
      <c r="P28" s="67"/>
      <c r="R28" s="186"/>
    </row>
    <row r="29" spans="1:18" x14ac:dyDescent="0.3">
      <c r="A29" s="215"/>
      <c r="B29" s="231"/>
      <c r="C29" s="16" t="s">
        <v>188</v>
      </c>
      <c r="D29" s="78">
        <f>VLOOKUP($G$5,[42]IDACI!$E$155:$AE$157,16,FALSE)</f>
        <v>9.5872881355932247</v>
      </c>
      <c r="E29" s="137">
        <f>Primary!G26</f>
        <v>256.05122942541453</v>
      </c>
      <c r="F29" s="64"/>
      <c r="G29" s="65"/>
      <c r="H29" s="22"/>
      <c r="I29" s="66"/>
      <c r="K29" s="62"/>
      <c r="L29" s="62"/>
      <c r="M29" s="158"/>
      <c r="N29" s="163"/>
      <c r="O29" s="67"/>
      <c r="P29" s="67"/>
      <c r="R29" s="186"/>
    </row>
    <row r="30" spans="1:18" x14ac:dyDescent="0.3">
      <c r="A30" s="215"/>
      <c r="B30" s="16"/>
      <c r="C30" s="16" t="s">
        <v>187</v>
      </c>
      <c r="D30" s="78">
        <f>VLOOKUP($G$5,[42]IDACI!$E$155:$AE$157,15,FALSE)</f>
        <v>10.652542372881367</v>
      </c>
      <c r="E30" s="137">
        <f>Primary!G27</f>
        <v>402.36621766850863</v>
      </c>
      <c r="F30" s="64"/>
      <c r="G30" s="65"/>
      <c r="H30" s="22"/>
      <c r="I30" s="66"/>
      <c r="K30" s="62"/>
      <c r="L30" s="62"/>
      <c r="M30" s="158"/>
      <c r="N30" s="163"/>
      <c r="O30" s="67"/>
      <c r="P30" s="67"/>
      <c r="R30" s="186"/>
    </row>
    <row r="31" spans="1:18" x14ac:dyDescent="0.3">
      <c r="A31" s="215"/>
      <c r="B31" s="16"/>
      <c r="C31" s="16" t="s">
        <v>186</v>
      </c>
      <c r="D31" s="78">
        <f>VLOOKUP($G$5,[42]IDACI!$E$155:$AE$157,14,FALSE)</f>
        <v>106.52542372881368</v>
      </c>
      <c r="E31" s="137">
        <f>Primary!G28</f>
        <v>438.94496472928211</v>
      </c>
      <c r="F31" s="64"/>
      <c r="G31" s="65"/>
      <c r="H31" s="22"/>
      <c r="I31" s="66"/>
      <c r="K31" s="62"/>
      <c r="L31" s="62"/>
      <c r="M31" s="158"/>
      <c r="N31" s="163"/>
      <c r="O31" s="67"/>
      <c r="P31" s="67"/>
      <c r="R31" s="186"/>
    </row>
    <row r="32" spans="1:18" x14ac:dyDescent="0.3">
      <c r="A32" s="215"/>
      <c r="B32" s="16"/>
      <c r="C32" s="16" t="s">
        <v>185</v>
      </c>
      <c r="D32" s="78">
        <f>VLOOKUP($G$5,[42]IDACI!$E$155:$AE$157,13,FALSE)</f>
        <v>169.37542372881367</v>
      </c>
      <c r="E32" s="137">
        <f>Primary!G29</f>
        <v>466.37902502486224</v>
      </c>
      <c r="F32" s="64"/>
      <c r="G32" s="65"/>
      <c r="H32" s="22"/>
      <c r="I32" s="66"/>
      <c r="K32" s="62"/>
      <c r="L32" s="62"/>
      <c r="M32" s="158"/>
      <c r="N32" s="163"/>
      <c r="O32" s="67"/>
      <c r="P32" s="67"/>
      <c r="R32" s="186"/>
    </row>
    <row r="33" spans="1:18" x14ac:dyDescent="0.3">
      <c r="A33" s="215"/>
      <c r="B33" s="16"/>
      <c r="C33" s="16" t="s">
        <v>184</v>
      </c>
      <c r="D33" s="78">
        <f>VLOOKUP($G$5,[42]IDACI!$E$155:$AE$157,12,FALSE)</f>
        <v>5.3262711864406835</v>
      </c>
      <c r="E33" s="137">
        <f>Primary!G30</f>
        <v>612.69401326795628</v>
      </c>
      <c r="F33" s="64"/>
      <c r="G33" s="65"/>
      <c r="H33" s="22"/>
      <c r="I33" s="66"/>
      <c r="K33" s="62"/>
      <c r="L33" s="62"/>
      <c r="M33" s="158"/>
      <c r="N33" s="163"/>
      <c r="O33" s="67"/>
      <c r="P33" s="67"/>
      <c r="R33" s="186"/>
    </row>
    <row r="34" spans="1:18" x14ac:dyDescent="0.3">
      <c r="A34" s="215"/>
      <c r="B34" s="16"/>
      <c r="C34" s="16"/>
      <c r="D34" s="78"/>
      <c r="E34" s="137"/>
      <c r="F34" s="64"/>
      <c r="G34" s="65"/>
      <c r="H34" s="22"/>
      <c r="I34" s="66"/>
      <c r="K34" s="62"/>
      <c r="L34" s="62"/>
      <c r="M34" s="158"/>
      <c r="N34" s="163"/>
      <c r="O34" s="67"/>
      <c r="P34" s="67"/>
      <c r="R34" s="186"/>
    </row>
    <row r="35" spans="1:18" x14ac:dyDescent="0.3">
      <c r="A35" s="215"/>
      <c r="B35" s="93" t="s">
        <v>265</v>
      </c>
      <c r="C35" s="16" t="s">
        <v>189</v>
      </c>
      <c r="D35" s="78">
        <f>VLOOKUP($G$5,[42]IDACI!$E$190:$AE$192,17,FALSE)</f>
        <v>3.4830508474576307</v>
      </c>
      <c r="E35" s="137">
        <f>'[42]pro-forma check'!$E18</f>
        <v>162.66017815554829</v>
      </c>
      <c r="F35" s="64">
        <f>IF($H$5=4998,[41]IDACI!$AE$190,IF($H$5=4225,[41]IDACI!$AE$191,IF($H$5=4005,[41]IDACI!$AE$192)))</f>
        <v>32205.731063455176</v>
      </c>
      <c r="G35" s="65">
        <f>(D35*E35)+(D36*E36)+(D37*E37)+(D38*E38)+(D39*E39)+(D40*E40)</f>
        <v>73935.254114084004</v>
      </c>
      <c r="H35" s="22">
        <f>G35-F35</f>
        <v>41729.523050628828</v>
      </c>
      <c r="I35" s="66">
        <f>IF(N35=TRUE,"n/a",IF(F35=0,"n/a",(H35/F35)*100))</f>
        <v>129.57173047371245</v>
      </c>
      <c r="K35" s="62"/>
      <c r="L35" s="62"/>
      <c r="M35" s="158">
        <v>7</v>
      </c>
      <c r="N35" s="163">
        <v>7</v>
      </c>
      <c r="O35" s="67">
        <f t="shared" si="2"/>
        <v>566.55367137229166</v>
      </c>
      <c r="P35" s="67">
        <f t="shared" si="3"/>
        <v>73368.700442711706</v>
      </c>
      <c r="R35" s="186"/>
    </row>
    <row r="36" spans="1:18" x14ac:dyDescent="0.3">
      <c r="A36" s="215"/>
      <c r="B36" s="231"/>
      <c r="C36" s="16" t="s">
        <v>188</v>
      </c>
      <c r="D36" s="78">
        <f>VLOOKUP($G$5,[42]IDACI!$E$190:$AE$192,16,FALSE)</f>
        <v>5.2245762711864359</v>
      </c>
      <c r="E36" s="137">
        <f>'[42]pro-forma check'!$E19</f>
        <v>162.66017815554829</v>
      </c>
      <c r="F36" s="64"/>
      <c r="G36" s="65"/>
      <c r="H36" s="22"/>
      <c r="I36" s="66"/>
      <c r="K36" s="62"/>
      <c r="L36" s="62"/>
      <c r="M36" s="158"/>
      <c r="N36" s="163"/>
      <c r="O36" s="67">
        <f t="shared" si="2"/>
        <v>849.83050705843584</v>
      </c>
      <c r="P36" s="67">
        <f t="shared" si="3"/>
        <v>-849.83050705843584</v>
      </c>
      <c r="R36" s="186"/>
    </row>
    <row r="37" spans="1:18" x14ac:dyDescent="0.3">
      <c r="A37" s="215"/>
      <c r="B37" s="16"/>
      <c r="C37" s="16" t="s">
        <v>187</v>
      </c>
      <c r="D37" s="78">
        <f>VLOOKUP($G$5,[42]IDACI!$E$190:$AE$192,15,FALSE)</f>
        <v>3.4830508474576307</v>
      </c>
      <c r="E37" s="137">
        <f>'[42]pro-forma check'!$E20</f>
        <v>243.99026723332247</v>
      </c>
      <c r="F37" s="64"/>
      <c r="G37" s="65"/>
      <c r="H37" s="22"/>
      <c r="I37" s="66"/>
      <c r="K37" s="62"/>
      <c r="L37" s="62"/>
      <c r="M37" s="158"/>
      <c r="N37" s="163"/>
      <c r="O37" s="67">
        <f t="shared" si="2"/>
        <v>849.83050705843766</v>
      </c>
      <c r="P37" s="67">
        <f t="shared" si="3"/>
        <v>-849.83050705843766</v>
      </c>
      <c r="R37" s="186"/>
    </row>
    <row r="38" spans="1:18" x14ac:dyDescent="0.3">
      <c r="A38" s="215"/>
      <c r="B38" s="16"/>
      <c r="C38" s="16" t="s">
        <v>186</v>
      </c>
      <c r="D38" s="78">
        <f>VLOOKUP($G$5,[42]IDACI!$E$190:$AE$192,14,FALSE)</f>
        <v>85.334745762711947</v>
      </c>
      <c r="E38" s="137">
        <f>'[42]pro-forma check'!$E21</f>
        <v>325.32035631109665</v>
      </c>
      <c r="F38" s="64"/>
      <c r="G38" s="65"/>
      <c r="H38" s="22"/>
      <c r="I38" s="66"/>
      <c r="K38" s="62"/>
      <c r="L38" s="62"/>
      <c r="M38" s="158"/>
      <c r="N38" s="163"/>
      <c r="O38" s="67">
        <f t="shared" si="2"/>
        <v>27761.129897242296</v>
      </c>
      <c r="P38" s="67">
        <f t="shared" si="3"/>
        <v>-27761.129897242296</v>
      </c>
      <c r="R38" s="186"/>
    </row>
    <row r="39" spans="1:18" x14ac:dyDescent="0.3">
      <c r="A39" s="215"/>
      <c r="B39" s="16"/>
      <c r="C39" s="16" t="s">
        <v>185</v>
      </c>
      <c r="D39" s="78">
        <f>VLOOKUP($G$5,[42]IDACI!$E$190:$AE$192,13,FALSE)</f>
        <v>107.97457627118638</v>
      </c>
      <c r="E39" s="137">
        <f>'[42]pro-forma check'!$E22</f>
        <v>406.65044538887076</v>
      </c>
      <c r="F39" s="64"/>
      <c r="G39" s="65"/>
      <c r="H39" s="22"/>
      <c r="I39" s="66"/>
      <c r="K39" s="62"/>
      <c r="L39" s="62"/>
      <c r="M39" s="158"/>
      <c r="N39" s="163"/>
      <c r="O39" s="67">
        <f t="shared" si="2"/>
        <v>43907.909531352539</v>
      </c>
      <c r="P39" s="67">
        <f t="shared" si="3"/>
        <v>-43907.909531352539</v>
      </c>
      <c r="R39" s="186"/>
    </row>
    <row r="40" spans="1:18" x14ac:dyDescent="0.3">
      <c r="A40" s="215"/>
      <c r="B40" s="16"/>
      <c r="C40" s="16" t="s">
        <v>184</v>
      </c>
      <c r="D40" s="78">
        <f>VLOOKUP($G$5,[42]IDACI!$E$190:$AE$192,12,FALSE)</f>
        <v>0</v>
      </c>
      <c r="E40" s="137">
        <f>'[42]pro-forma check'!$E23</f>
        <v>487.980534466645</v>
      </c>
      <c r="F40" s="64"/>
      <c r="G40" s="65"/>
      <c r="H40" s="22"/>
      <c r="I40" s="66"/>
      <c r="K40" s="62"/>
      <c r="L40" s="62"/>
      <c r="M40" s="158"/>
      <c r="N40" s="163"/>
      <c r="O40" s="67">
        <f t="shared" si="2"/>
        <v>0</v>
      </c>
      <c r="P40" s="67">
        <f t="shared" si="3"/>
        <v>0</v>
      </c>
      <c r="Q40" s="79">
        <f>SUM(P26:P40)</f>
        <v>7.2759576141834259E-12</v>
      </c>
      <c r="R40" s="186"/>
    </row>
    <row r="41" spans="1:18" s="56" customFormat="1" ht="12.5" x14ac:dyDescent="0.25">
      <c r="A41" s="218"/>
      <c r="B41" s="16"/>
      <c r="C41" s="16"/>
      <c r="D41" s="80"/>
      <c r="E41" s="81"/>
      <c r="F41" s="64"/>
      <c r="G41" s="82"/>
      <c r="H41" s="22"/>
      <c r="I41" s="66"/>
      <c r="J41" s="28"/>
      <c r="K41" s="62"/>
      <c r="L41" s="62"/>
      <c r="M41" s="158"/>
      <c r="N41" s="163"/>
      <c r="O41" s="67"/>
      <c r="P41" s="67"/>
      <c r="R41" s="186"/>
    </row>
    <row r="42" spans="1:18" s="84" customFormat="1" x14ac:dyDescent="0.3">
      <c r="A42" s="134"/>
      <c r="B42" s="16" t="s">
        <v>50</v>
      </c>
      <c r="C42" s="16" t="s">
        <v>267</v>
      </c>
      <c r="D42" s="78">
        <f>IF($G$5=4014,'[42]Attain (2)'!$W$193,IF($G$5=4225,'[42]Attain (2)'!$W$197,IF($G$5=4005,'[42]Attain (2)'!$W$201)))</f>
        <v>91.903301886792377</v>
      </c>
      <c r="E42" s="63">
        <f>'[42]pro-forma check'!$E27</f>
        <v>1095.0371179390472</v>
      </c>
      <c r="F42" s="247">
        <f>IF($H$5=4998,'[41]Budget Share'!$K$190,IF($H$5=4225,'[41]Budget Share'!$K$194,IF($H$5=4005,'[41]Budget Share'!$K$198)))</f>
        <v>77619.703786504848</v>
      </c>
      <c r="G42" s="65">
        <f>D42*E42</f>
        <v>100637.52682719532</v>
      </c>
      <c r="H42" s="22">
        <f>G42-F42</f>
        <v>23017.823040690477</v>
      </c>
      <c r="I42" s="66">
        <f>IF(N42=TRUE,"n/a",IF(F42=0,"n/a",(H42/F42)*100))</f>
        <v>29.65461334921045</v>
      </c>
      <c r="J42" s="28"/>
      <c r="K42" s="62" t="s">
        <v>50</v>
      </c>
      <c r="L42" s="62"/>
      <c r="M42" s="158">
        <v>8</v>
      </c>
      <c r="N42" s="163">
        <v>8</v>
      </c>
      <c r="O42" s="67">
        <f t="shared" ref="O42" si="4">D42*E42</f>
        <v>100637.52682719532</v>
      </c>
      <c r="P42" s="67">
        <f t="shared" ref="P42" si="5">G42-O42</f>
        <v>0</v>
      </c>
      <c r="R42" s="186"/>
    </row>
    <row r="43" spans="1:18" s="84" customFormat="1" x14ac:dyDescent="0.3">
      <c r="A43" s="134"/>
      <c r="B43" s="16"/>
      <c r="C43" s="16" t="s">
        <v>266</v>
      </c>
      <c r="D43" s="78">
        <f>IF($G$5=4014,'[42]Attain (2)'!$W$194,IF($G$5=4225,'[42]Attain (2)'!$W$198,IF($G$5=4005,'[42]Attain (2)'!$W$202)))</f>
        <v>42.254232868195743</v>
      </c>
      <c r="E43" s="63">
        <f>'[42]pro-forma check'!$E28</f>
        <v>1776.3730527823993</v>
      </c>
      <c r="F43" s="247">
        <f>IF($H$5=4998,'[41]Budget Share'!$K$191,IF($H$5=4225,'[41]Budget Share'!$K$195,IF($H$5=4005,'[41]Budget Share'!$K$199)))</f>
        <v>14878.879966724782</v>
      </c>
      <c r="G43" s="65">
        <f>D43*E43</f>
        <v>75059.28063305527</v>
      </c>
      <c r="H43" s="22">
        <f>G43-F43</f>
        <v>60180.40066633049</v>
      </c>
      <c r="I43" s="66">
        <f>IF(N43=TRUE,"n/a",IF(F43=0,"n/a",(H43/F43)*100))</f>
        <v>404.46862130024772</v>
      </c>
      <c r="J43" s="28"/>
      <c r="K43" s="62" t="s">
        <v>50</v>
      </c>
      <c r="L43" s="62"/>
      <c r="M43" s="158">
        <v>8</v>
      </c>
      <c r="N43" s="163">
        <v>8</v>
      </c>
      <c r="O43" s="67">
        <f t="shared" si="2"/>
        <v>75059.28063305527</v>
      </c>
      <c r="P43" s="67">
        <f t="shared" si="3"/>
        <v>0</v>
      </c>
      <c r="R43" s="186"/>
    </row>
    <row r="44" spans="1:18" s="84" customFormat="1" x14ac:dyDescent="0.3">
      <c r="A44" s="134"/>
      <c r="B44" s="16"/>
      <c r="C44" s="16"/>
      <c r="D44" s="83"/>
      <c r="E44" s="63"/>
      <c r="F44" s="64"/>
      <c r="G44" s="65"/>
      <c r="H44" s="22"/>
      <c r="I44" s="66"/>
      <c r="J44" s="28"/>
      <c r="K44" s="62"/>
      <c r="L44" s="62"/>
      <c r="M44" s="158"/>
      <c r="N44" s="163"/>
      <c r="O44" s="67"/>
      <c r="P44" s="67"/>
      <c r="R44" s="186"/>
    </row>
    <row r="45" spans="1:18" s="84" customFormat="1" x14ac:dyDescent="0.3">
      <c r="A45" s="134"/>
      <c r="B45" s="16" t="s">
        <v>51</v>
      </c>
      <c r="C45" s="16" t="s">
        <v>268</v>
      </c>
      <c r="D45" s="78">
        <f>IF($G$5=4014,[42]EAL!$I$188,IF($G$5=4225,[42]EAL!$I$192,IF($G$5=4005,[42]EAL!$I$196)))</f>
        <v>109.59138655462174</v>
      </c>
      <c r="E45" s="85">
        <f>'[42]pro-forma check'!$E29</f>
        <v>344.65067452797842</v>
      </c>
      <c r="F45" s="64">
        <f>IF($H$5=4998,[41]EAL!$J$188,IF($H$5=4225,[41]EAL!$J$192,IF($H$5=4005,[41]EAL!$J$196)))</f>
        <v>29983.905270697887</v>
      </c>
      <c r="G45" s="65">
        <f>D45*E45</f>
        <v>37770.745298506808</v>
      </c>
      <c r="H45" s="22">
        <f>G45-F45</f>
        <v>7786.8400278089211</v>
      </c>
      <c r="I45" s="66">
        <f>IF(N45=TRUE,"n/a",IF(F45=0,"n/a",(H45/F45)*100))</f>
        <v>25.970066132174914</v>
      </c>
      <c r="J45" s="28"/>
      <c r="K45" s="62" t="s">
        <v>51</v>
      </c>
      <c r="L45" s="62"/>
      <c r="M45" s="158">
        <v>9</v>
      </c>
      <c r="N45" s="163">
        <v>9</v>
      </c>
      <c r="O45" s="67">
        <f t="shared" ref="O45" si="6">D45*E45</f>
        <v>37770.745298506808</v>
      </c>
      <c r="P45" s="67">
        <f t="shared" ref="P45" si="7">G45-O45</f>
        <v>0</v>
      </c>
      <c r="R45" s="186"/>
    </row>
    <row r="46" spans="1:18" s="84" customFormat="1" x14ac:dyDescent="0.3">
      <c r="A46" s="134"/>
      <c r="B46" s="16"/>
      <c r="C46" s="16" t="s">
        <v>269</v>
      </c>
      <c r="D46" s="78">
        <f>IF($G$5=4014,[42]EAL!$I$189,IF($G$5=4225,[42]EAL!$I$193,IF($G$5=4005,[42]EAL!$I$197)))</f>
        <v>24.381355932203356</v>
      </c>
      <c r="E46" s="85">
        <f>'[42]pro-forma check'!$E30</f>
        <v>961.67410385167909</v>
      </c>
      <c r="F46" s="64">
        <f>IF($H$5=4998,[41]EAL!$J$189,IF($H$5=4225,[41]EAL!$J$193,IF($H$5=4005,[41]EAL!$J$197)))</f>
        <v>28747.598492460394</v>
      </c>
      <c r="G46" s="65">
        <f>D46*E46</f>
        <v>23446.918616790481</v>
      </c>
      <c r="H46" s="22">
        <f>G46-F46</f>
        <v>-5300.6798756699136</v>
      </c>
      <c r="I46" s="66">
        <f>IF(N46=TRUE,"n/a",IF(F46=0,"n/a",(H46/F46)*100))</f>
        <v>-18.438687590061196</v>
      </c>
      <c r="J46" s="28"/>
      <c r="K46" s="62" t="s">
        <v>51</v>
      </c>
      <c r="L46" s="62"/>
      <c r="M46" s="158">
        <v>9</v>
      </c>
      <c r="N46" s="163">
        <v>9</v>
      </c>
      <c r="O46" s="67">
        <f t="shared" si="2"/>
        <v>23446.918616790481</v>
      </c>
      <c r="P46" s="67">
        <f t="shared" si="3"/>
        <v>0</v>
      </c>
      <c r="R46" s="186"/>
    </row>
    <row r="47" spans="1:18" s="84" customFormat="1" ht="12.5" x14ac:dyDescent="0.25">
      <c r="A47" s="134"/>
      <c r="B47" s="16"/>
      <c r="C47" s="16"/>
      <c r="D47" s="80"/>
      <c r="E47" s="81"/>
      <c r="F47" s="64"/>
      <c r="G47" s="86"/>
      <c r="H47" s="86"/>
      <c r="I47" s="82"/>
      <c r="J47" s="28"/>
      <c r="K47" s="62"/>
      <c r="L47" s="62"/>
      <c r="M47" s="158"/>
      <c r="N47" s="163"/>
      <c r="O47" s="67"/>
      <c r="P47" s="67"/>
      <c r="R47" s="186"/>
    </row>
    <row r="48" spans="1:18" s="84" customFormat="1" x14ac:dyDescent="0.3">
      <c r="A48" s="134"/>
      <c r="B48" s="93" t="s">
        <v>117</v>
      </c>
      <c r="C48" s="246" t="s">
        <v>270</v>
      </c>
      <c r="D48" s="83">
        <f>IF($G$5=4014,[42]Mobility!$H$187,IF($G$5=4225,[42]Mobility!$H$191,IF($G$5=4005,[42]Mobility!$H$195)))</f>
        <v>39.947033898305207</v>
      </c>
      <c r="E48" s="88">
        <f>'[42]pro-forma check'!$E24</f>
        <v>293.97585893924099</v>
      </c>
      <c r="F48" s="64">
        <f>IF($H$5=4998,'[41]Budget Share'!$O$190,IF($H$5=4225,'[41]Budget Share'!$O$194,IF($H$5=4005,'[41]Budget Share'!$O$198)))</f>
        <v>11239.759014353565</v>
      </c>
      <c r="G48" s="65">
        <f>D48*E48</f>
        <v>11743.46360232925</v>
      </c>
      <c r="H48" s="22">
        <f>G48-F48</f>
        <v>503.70458797568426</v>
      </c>
      <c r="I48" s="66">
        <f>IF(N48=TRUE,"n/a",IF(F48=0,"n/a",(H48/F48)*100))</f>
        <v>4.4814536266519225</v>
      </c>
      <c r="J48" s="28"/>
      <c r="K48" s="62"/>
      <c r="L48" s="62"/>
      <c r="M48" s="158"/>
      <c r="N48" s="163"/>
      <c r="O48" s="67"/>
      <c r="P48" s="67"/>
      <c r="R48" s="186"/>
    </row>
    <row r="49" spans="1:18" x14ac:dyDescent="0.3">
      <c r="A49" s="215"/>
      <c r="B49" s="93"/>
      <c r="C49" s="246" t="s">
        <v>271</v>
      </c>
      <c r="D49" s="83">
        <f>IF($G$5=4014,[42]Mobility!$H$188,IF($G$5=4225,[42]Mobility!$H$192,IF($G$5=4005,[42]Mobility!$H$196)))</f>
        <v>0</v>
      </c>
      <c r="E49" s="88">
        <f>'[42]pro-forma check'!$E25</f>
        <v>398.19277835110404</v>
      </c>
      <c r="F49" s="64">
        <f>IF($H$5=4998,'[41]Budget Share'!$O$191,IF($H$5=4225,'[41]Budget Share'!$O$195,IF($H$5=4005,'[41]Budget Share'!$O$199)))</f>
        <v>0</v>
      </c>
      <c r="G49" s="65">
        <f>D49*E49</f>
        <v>0</v>
      </c>
      <c r="H49" s="22">
        <f>G49-F49</f>
        <v>0</v>
      </c>
      <c r="I49" s="66" t="str">
        <f>IF(N49=TRUE,"n/a",IF(F49=0,"n/a",(H49/F49)*100))</f>
        <v>n/a</v>
      </c>
      <c r="K49" s="62" t="s">
        <v>49</v>
      </c>
      <c r="L49" s="62"/>
      <c r="M49" s="158">
        <v>12</v>
      </c>
      <c r="N49" s="163">
        <v>12</v>
      </c>
      <c r="O49" s="67">
        <f t="shared" si="2"/>
        <v>0</v>
      </c>
      <c r="P49" s="67">
        <f t="shared" si="3"/>
        <v>0</v>
      </c>
      <c r="R49" s="186"/>
    </row>
    <row r="50" spans="1:18" x14ac:dyDescent="0.3">
      <c r="A50" s="215"/>
      <c r="B50" s="16"/>
      <c r="C50" s="16"/>
      <c r="D50" s="80"/>
      <c r="E50" s="81"/>
      <c r="F50" s="64"/>
      <c r="G50" s="65"/>
      <c r="H50" s="22"/>
      <c r="I50" s="66"/>
      <c r="K50" s="62"/>
      <c r="L50" s="62"/>
      <c r="M50" s="158"/>
      <c r="N50" s="163"/>
      <c r="O50" s="67"/>
      <c r="P50" s="67"/>
      <c r="R50" s="68"/>
    </row>
    <row r="51" spans="1:18" x14ac:dyDescent="0.3">
      <c r="A51" s="215"/>
      <c r="B51" s="16" t="s">
        <v>53</v>
      </c>
      <c r="C51" s="16"/>
      <c r="D51" s="80"/>
      <c r="E51" s="81"/>
      <c r="F51" s="64">
        <f>VLOOKUP($H$5,'[41]Budget Share'!$D:$Y,M51,FALSE)</f>
        <v>150000</v>
      </c>
      <c r="G51" s="65">
        <f>VLOOKUP($G$5,'[42]Budget Share'!$D:$Y,M51,FALSE)</f>
        <v>130000</v>
      </c>
      <c r="H51" s="22">
        <f t="shared" ref="H51:H57" si="8">G51-F51</f>
        <v>-20000</v>
      </c>
      <c r="I51" s="66">
        <f t="shared" ref="I51:I57" si="9">IF(N51=TRUE,"n/a",IF(F51=0,"n/a",(H51/F51)*100))</f>
        <v>-13.333333333333334</v>
      </c>
      <c r="K51" s="62" t="s">
        <v>53</v>
      </c>
      <c r="L51" s="62"/>
      <c r="M51" s="158">
        <v>11</v>
      </c>
      <c r="N51" s="163">
        <v>11</v>
      </c>
      <c r="O51" s="67">
        <f>G51</f>
        <v>130000</v>
      </c>
      <c r="P51" s="67">
        <f t="shared" si="3"/>
        <v>0</v>
      </c>
      <c r="R51" s="68"/>
    </row>
    <row r="52" spans="1:18" x14ac:dyDescent="0.3">
      <c r="A52" s="215"/>
      <c r="B52" s="16"/>
      <c r="C52" s="16"/>
      <c r="D52" s="80"/>
      <c r="E52" s="81"/>
      <c r="F52" s="64"/>
      <c r="G52" s="89"/>
      <c r="H52" s="22"/>
      <c r="I52" s="66"/>
      <c r="K52" s="62"/>
      <c r="L52" s="62"/>
      <c r="M52" s="158"/>
      <c r="N52" s="163"/>
      <c r="O52" s="67"/>
      <c r="P52" s="67"/>
      <c r="R52" s="68"/>
    </row>
    <row r="53" spans="1:18" x14ac:dyDescent="0.3">
      <c r="A53" s="215"/>
      <c r="B53" s="93" t="s">
        <v>82</v>
      </c>
      <c r="C53" s="16"/>
      <c r="D53" s="80"/>
      <c r="E53" s="81"/>
      <c r="F53" s="64">
        <f>VLOOKUP($H$5,'[41]Budget Share'!$D:$Y,M53,FALSE)</f>
        <v>50000</v>
      </c>
      <c r="G53" s="65">
        <f>VLOOKUP($G$5,'[42]Budget Share'!$D:$Y,M53,FALSE)</f>
        <v>50000</v>
      </c>
      <c r="H53" s="22">
        <f t="shared" si="8"/>
        <v>0</v>
      </c>
      <c r="I53" s="66">
        <f t="shared" si="9"/>
        <v>0</v>
      </c>
      <c r="K53" s="62" t="s">
        <v>54</v>
      </c>
      <c r="L53" s="62"/>
      <c r="M53" s="158">
        <v>20</v>
      </c>
      <c r="N53" s="163">
        <v>20</v>
      </c>
      <c r="O53" s="67">
        <f t="shared" si="2"/>
        <v>0</v>
      </c>
      <c r="P53" s="67">
        <f t="shared" si="3"/>
        <v>50000</v>
      </c>
      <c r="R53" s="68"/>
    </row>
    <row r="54" spans="1:18" x14ac:dyDescent="0.3">
      <c r="A54" s="215"/>
      <c r="B54" s="16"/>
      <c r="C54" s="16"/>
      <c r="D54" s="80"/>
      <c r="E54" s="81"/>
      <c r="F54" s="64"/>
      <c r="G54" s="89"/>
      <c r="H54" s="22"/>
      <c r="I54" s="66"/>
      <c r="K54" s="62"/>
      <c r="L54" s="62"/>
      <c r="M54" s="158"/>
      <c r="N54" s="163"/>
      <c r="O54" s="67"/>
      <c r="P54" s="67"/>
      <c r="R54" s="68"/>
    </row>
    <row r="55" spans="1:18" x14ac:dyDescent="0.3">
      <c r="A55" s="215"/>
      <c r="B55" s="93" t="s">
        <v>9</v>
      </c>
      <c r="C55" s="16"/>
      <c r="D55" s="80"/>
      <c r="E55" s="81"/>
      <c r="F55" s="64">
        <f>VLOOKUP($H$5,'[41]Budget Share'!$D:$Y,M55,FALSE)</f>
        <v>35062</v>
      </c>
      <c r="G55" s="65">
        <f>VLOOKUP($G$5,'[42]Budget Share'!$D:$Y,M55,FALSE)</f>
        <v>34352.699999999997</v>
      </c>
      <c r="H55" s="22">
        <f t="shared" si="8"/>
        <v>-709.30000000000291</v>
      </c>
      <c r="I55" s="66">
        <f t="shared" si="9"/>
        <v>-2.0229878500941276</v>
      </c>
      <c r="K55" s="62" t="s">
        <v>55</v>
      </c>
      <c r="L55" s="62"/>
      <c r="M55" s="158">
        <v>21</v>
      </c>
      <c r="N55" s="163">
        <v>21</v>
      </c>
      <c r="O55" s="67">
        <f>G55</f>
        <v>34352.699999999997</v>
      </c>
      <c r="P55" s="67">
        <f t="shared" si="3"/>
        <v>0</v>
      </c>
      <c r="R55" s="68"/>
    </row>
    <row r="56" spans="1:18" x14ac:dyDescent="0.3">
      <c r="A56" s="215"/>
      <c r="B56" s="16"/>
      <c r="C56" s="16"/>
      <c r="D56" s="80"/>
      <c r="E56" s="81"/>
      <c r="F56" s="64"/>
      <c r="G56" s="89"/>
      <c r="H56" s="22"/>
      <c r="I56" s="66"/>
      <c r="K56" s="62"/>
      <c r="L56" s="62"/>
      <c r="M56" s="158"/>
      <c r="N56" s="163"/>
      <c r="O56" s="67"/>
      <c r="P56" s="67"/>
      <c r="R56" s="68"/>
    </row>
    <row r="57" spans="1:18" x14ac:dyDescent="0.3">
      <c r="A57" s="215"/>
      <c r="B57" s="93" t="s">
        <v>83</v>
      </c>
      <c r="C57" s="16"/>
      <c r="D57" s="80"/>
      <c r="E57" s="81"/>
      <c r="F57" s="64">
        <f>VLOOKUP($H$5,'[41]Budget Share'!$D:$Y,M57,FALSE)</f>
        <v>0</v>
      </c>
      <c r="G57" s="65">
        <f>VLOOKUP($G$5,'[42]Budget Share'!$D:$Y,M57,FALSE)</f>
        <v>0</v>
      </c>
      <c r="H57" s="22">
        <f t="shared" si="8"/>
        <v>0</v>
      </c>
      <c r="I57" s="66" t="str">
        <f t="shared" si="9"/>
        <v>n/a</v>
      </c>
      <c r="K57" s="62" t="s">
        <v>56</v>
      </c>
      <c r="L57" s="62"/>
      <c r="M57" s="158">
        <v>19</v>
      </c>
      <c r="N57" s="163">
        <v>19</v>
      </c>
      <c r="O57" s="67">
        <f t="shared" si="2"/>
        <v>0</v>
      </c>
      <c r="P57" s="67">
        <f t="shared" si="3"/>
        <v>0</v>
      </c>
      <c r="R57" s="68"/>
    </row>
    <row r="58" spans="1:18" x14ac:dyDescent="0.3">
      <c r="A58" s="215"/>
      <c r="B58" s="93"/>
      <c r="C58" s="16"/>
      <c r="D58" s="80"/>
      <c r="E58" s="81"/>
      <c r="F58" s="64"/>
      <c r="G58" s="65"/>
      <c r="H58" s="22"/>
      <c r="I58" s="66"/>
      <c r="K58" s="62"/>
      <c r="L58" s="62"/>
      <c r="M58" s="158"/>
      <c r="N58" s="163"/>
      <c r="O58" s="67"/>
      <c r="P58" s="67"/>
      <c r="R58" s="68"/>
    </row>
    <row r="59" spans="1:18" x14ac:dyDescent="0.3">
      <c r="A59" s="215"/>
      <c r="B59" s="16" t="s">
        <v>226</v>
      </c>
      <c r="C59" s="16"/>
      <c r="D59" s="80"/>
      <c r="E59" s="81"/>
      <c r="F59" s="64">
        <f>VLOOKUP($H$5,'[41]Budget Share'!$D:$Y,M59,FALSE)</f>
        <v>0</v>
      </c>
      <c r="G59" s="65">
        <f>VLOOKUP($G$5,'[42]Budget Share'!$D:$Y,M59,FALSE)</f>
        <v>0</v>
      </c>
      <c r="H59" s="22">
        <f>G59</f>
        <v>0</v>
      </c>
      <c r="I59" s="66" t="str">
        <f>IF(N59=TRUE,"n/a",IF(F59=0,"n/a",(H59/F59)*100))</f>
        <v>n/a</v>
      </c>
      <c r="K59" s="62"/>
      <c r="L59" s="62"/>
      <c r="M59" s="158">
        <v>14</v>
      </c>
      <c r="N59" s="163">
        <v>14</v>
      </c>
      <c r="O59" s="67"/>
      <c r="P59" s="67"/>
      <c r="R59" s="68"/>
    </row>
    <row r="60" spans="1:18" x14ac:dyDescent="0.3">
      <c r="A60" s="215"/>
      <c r="B60" s="16" t="s">
        <v>57</v>
      </c>
      <c r="C60" s="16"/>
      <c r="D60" s="87" t="s">
        <v>84</v>
      </c>
      <c r="E60" s="192">
        <f>[42]MFG!$Y$1</f>
        <v>0.04</v>
      </c>
      <c r="F60" s="64">
        <f>VLOOKUP($H$5,'[41]Budget Share'!$D:$Y,M60,FALSE)</f>
        <v>0</v>
      </c>
      <c r="G60" s="65">
        <f>VLOOKUP($G$5,'[42]Budget Share'!$D:$Y,M60,FALSE)</f>
        <v>0</v>
      </c>
      <c r="H60" s="22">
        <f>G60-F60</f>
        <v>0</v>
      </c>
      <c r="I60" s="66" t="str">
        <f>IF(N60=TRUE,"n/a",IF(F60=0,"n/a",(H60/F60)*100))</f>
        <v>n/a</v>
      </c>
      <c r="K60" s="62" t="s">
        <v>57</v>
      </c>
      <c r="L60" s="62"/>
      <c r="M60" s="158">
        <v>16</v>
      </c>
      <c r="N60" s="163">
        <v>16</v>
      </c>
      <c r="O60" s="67"/>
      <c r="P60" s="67"/>
      <c r="R60" s="68"/>
    </row>
    <row r="61" spans="1:18" x14ac:dyDescent="0.3">
      <c r="A61" s="134"/>
      <c r="B61" s="93" t="s">
        <v>118</v>
      </c>
      <c r="C61" s="16"/>
      <c r="D61" s="87" t="s">
        <v>233</v>
      </c>
      <c r="E61" s="192">
        <f>[42]MFG!$Q$1</f>
        <v>5.0000000000000001E-3</v>
      </c>
      <c r="F61" s="64">
        <f>VLOOKUP($H$5,'[41]Budget Share'!$D:$Y,M61,FALSE)</f>
        <v>27942.898867307631</v>
      </c>
      <c r="G61" s="65">
        <f>VLOOKUP($G$5,'[42]Budget Share'!$D:$Y,M61,FALSE)</f>
        <v>0</v>
      </c>
      <c r="H61" s="22">
        <f>G61-F61</f>
        <v>-27942.898867307631</v>
      </c>
      <c r="I61" s="66">
        <f>IF(N61=TRUE,"n/a",IF(F61=0,"n/a",(H61/F61)*100))</f>
        <v>-100</v>
      </c>
      <c r="K61" s="62" t="s">
        <v>58</v>
      </c>
      <c r="L61" s="62"/>
      <c r="M61" s="158">
        <v>18</v>
      </c>
      <c r="N61" s="163">
        <v>18</v>
      </c>
      <c r="O61" s="67"/>
      <c r="P61" s="67"/>
      <c r="R61" s="68"/>
    </row>
    <row r="62" spans="1:18" ht="13.5" thickBot="1" x14ac:dyDescent="0.35">
      <c r="A62" s="134"/>
      <c r="B62" s="16"/>
      <c r="C62" s="16"/>
      <c r="D62" s="16"/>
      <c r="E62" s="90"/>
      <c r="F62" s="59"/>
      <c r="G62" s="65"/>
      <c r="H62" s="23"/>
      <c r="I62" s="61"/>
      <c r="K62" s="62"/>
      <c r="L62" s="62"/>
      <c r="M62" s="158"/>
      <c r="N62" s="62"/>
      <c r="O62" s="62"/>
      <c r="R62" s="68"/>
    </row>
    <row r="63" spans="1:18" s="56" customFormat="1" ht="14.5" thickBot="1" x14ac:dyDescent="0.35">
      <c r="A63" s="134">
        <v>100101</v>
      </c>
      <c r="B63" s="3" t="s">
        <v>62</v>
      </c>
      <c r="C63" s="3"/>
      <c r="D63" s="3"/>
      <c r="E63" s="5"/>
      <c r="F63" s="91">
        <f>SUM(F18:F61)</f>
        <v>1605517.7855675796</v>
      </c>
      <c r="G63" s="91">
        <f>SUM(G18:G61)</f>
        <v>2607694.2864905787</v>
      </c>
      <c r="H63" s="91">
        <f>SUM(H19:H61)</f>
        <v>614248.22931012337</v>
      </c>
      <c r="I63" s="92">
        <f>IF(N63=TRUE,"n/a",IF(F63=0,"n/a",(H63/F63)*100))</f>
        <v>38.258575198092593</v>
      </c>
      <c r="J63" s="28"/>
      <c r="K63" s="28"/>
      <c r="L63" s="28"/>
      <c r="M63" s="154"/>
      <c r="R63" s="68"/>
    </row>
    <row r="64" spans="1:18" s="179" customFormat="1" ht="15.5" x14ac:dyDescent="0.3">
      <c r="A64" s="219"/>
      <c r="B64" s="174" t="s">
        <v>11</v>
      </c>
      <c r="C64" s="175"/>
      <c r="D64" s="175"/>
      <c r="E64" s="176"/>
      <c r="F64" s="177">
        <f>F63/F12</f>
        <v>4810.5401814758934</v>
      </c>
      <c r="G64" s="177">
        <f>G63/G12</f>
        <v>5017.208824416698</v>
      </c>
      <c r="H64" s="177">
        <f>G64-F64</f>
        <v>206.6686429408046</v>
      </c>
      <c r="I64" s="178">
        <f>H64/F64*100</f>
        <v>4.2961629077879948</v>
      </c>
      <c r="K64" s="180"/>
      <c r="L64" s="180"/>
      <c r="M64" s="180"/>
    </row>
    <row r="65" spans="1:18" s="179" customFormat="1" ht="6.65" customHeight="1" x14ac:dyDescent="0.3">
      <c r="A65" s="219"/>
      <c r="B65" s="174"/>
      <c r="C65" s="175"/>
      <c r="D65" s="175"/>
      <c r="E65" s="206"/>
      <c r="F65" s="177"/>
      <c r="G65" s="177"/>
      <c r="H65" s="177"/>
      <c r="I65" s="178"/>
      <c r="K65" s="180"/>
      <c r="L65" s="180"/>
      <c r="M65" s="180"/>
    </row>
    <row r="66" spans="1:18" x14ac:dyDescent="0.3">
      <c r="A66" s="134">
        <v>100144</v>
      </c>
      <c r="B66" s="16" t="s">
        <v>244</v>
      </c>
      <c r="C66" s="16" t="s">
        <v>245</v>
      </c>
      <c r="D66" s="16"/>
      <c r="E66" s="90"/>
      <c r="F66" s="64">
        <f>VLOOKUP(G5,'[43]All Sch Incl Acads'!$C:$Q,15,FALSE)</f>
        <v>5248</v>
      </c>
      <c r="G66" s="65">
        <f>VLOOKUP($G$5,'[44]All Sch Incl Acads'!$A:$H,8,FALSE)</f>
        <v>14853.23</v>
      </c>
      <c r="H66" s="22">
        <f t="shared" ref="H66" si="10">G66-F66</f>
        <v>9605.23</v>
      </c>
      <c r="I66" s="66">
        <f t="shared" ref="I66" si="11">IF(M66=TRUE,"n/a",IF(F66=0,"n/a",(H66/F66)*100))</f>
        <v>183.0264862804878</v>
      </c>
      <c r="J66" s="242">
        <f>G66/G63</f>
        <v>5.6959245863093099E-3</v>
      </c>
      <c r="K66" s="84"/>
      <c r="L66" s="84"/>
      <c r="M66" s="158"/>
      <c r="N66" s="163"/>
      <c r="O66" s="62"/>
      <c r="R66" s="68"/>
    </row>
    <row r="67" spans="1:18" s="56" customFormat="1" ht="5.4" customHeight="1" thickBot="1" x14ac:dyDescent="0.3">
      <c r="A67" s="218"/>
      <c r="B67" s="232"/>
      <c r="C67" s="93"/>
      <c r="D67" s="93"/>
      <c r="E67" s="94"/>
      <c r="G67" s="164"/>
      <c r="J67" s="28"/>
      <c r="K67" s="28"/>
      <c r="L67" s="28"/>
      <c r="M67" s="159"/>
      <c r="N67" s="62"/>
      <c r="P67" s="56" t="s">
        <v>10</v>
      </c>
      <c r="R67" s="68"/>
    </row>
    <row r="68" spans="1:18" s="56" customFormat="1" ht="14.5" thickBot="1" x14ac:dyDescent="0.35">
      <c r="A68" s="218"/>
      <c r="B68" s="3" t="s">
        <v>63</v>
      </c>
      <c r="C68" s="3"/>
      <c r="D68" s="3"/>
      <c r="E68" s="5" t="s">
        <v>77</v>
      </c>
      <c r="F68" s="91">
        <f>SUM(F63:F67)-F64</f>
        <v>1610765.7855675796</v>
      </c>
      <c r="G68" s="91">
        <f>SUM(G63:G67)-G64</f>
        <v>2622547.5164905787</v>
      </c>
      <c r="H68" s="91">
        <f>SUM(H63:H67)-H64</f>
        <v>623853.45931012335</v>
      </c>
      <c r="I68" s="92">
        <f>IF(N68=TRUE,"n/a",IF(F68=0,"n/a",(H68/F68)*100))</f>
        <v>38.730240293147176</v>
      </c>
      <c r="J68" s="28"/>
      <c r="K68" s="28"/>
      <c r="L68" s="28"/>
      <c r="M68" s="157"/>
      <c r="R68" s="68"/>
    </row>
    <row r="69" spans="1:18" ht="12.5" x14ac:dyDescent="0.25">
      <c r="A69" s="215"/>
      <c r="B69" s="208"/>
      <c r="C69" s="54"/>
      <c r="D69" s="54"/>
      <c r="E69" s="58"/>
      <c r="F69" s="86">
        <f>VLOOKUP($H$5,'[41]Budget Share'!$D:$Y,M69,FALSE)-F63</f>
        <v>0</v>
      </c>
      <c r="G69" s="86">
        <f>VLOOKUP($G$5,'[42]Budget Share'!$D:$Y,M69,FALSE)-G63</f>
        <v>-194257.15090631181</v>
      </c>
      <c r="H69" s="86">
        <f>G69-F69</f>
        <v>-194257.15090631181</v>
      </c>
      <c r="I69" s="84"/>
      <c r="J69" s="84"/>
      <c r="M69" s="158">
        <v>22</v>
      </c>
      <c r="N69" s="163">
        <v>22</v>
      </c>
      <c r="O69" s="62"/>
    </row>
    <row r="70" spans="1:18" s="26" customFormat="1" x14ac:dyDescent="0.3">
      <c r="A70" s="134"/>
      <c r="B70" s="93"/>
      <c r="C70" s="93"/>
      <c r="D70" s="775" t="s">
        <v>148</v>
      </c>
      <c r="E70" s="775"/>
      <c r="F70" s="776" t="s">
        <v>149</v>
      </c>
      <c r="G70" s="776"/>
      <c r="H70" s="23"/>
      <c r="I70" s="61"/>
      <c r="K70" s="84"/>
      <c r="L70" s="84"/>
      <c r="M70" s="160"/>
      <c r="N70" s="95"/>
      <c r="O70" s="95"/>
    </row>
    <row r="71" spans="1:18" x14ac:dyDescent="0.3">
      <c r="A71" s="134"/>
      <c r="B71" s="16"/>
      <c r="C71" s="16"/>
      <c r="D71" s="97" t="s">
        <v>228</v>
      </c>
      <c r="E71" s="97" t="s">
        <v>229</v>
      </c>
      <c r="F71" s="199">
        <f>IF(ISERROR(VLOOKUP($G$5,#REF!,6,FALSE)),0,VLOOKUP($G$5,#REF!,6,FALSE))</f>
        <v>0</v>
      </c>
      <c r="G71" s="142">
        <f>IF(ISERROR(VLOOKUP($G$5,#REF!,6,FALSE)),0,VLOOKUP($G$5,#REF!,6,FALSE))</f>
        <v>0</v>
      </c>
      <c r="H71" s="23"/>
      <c r="I71" s="61"/>
      <c r="K71" s="84"/>
      <c r="L71" s="84"/>
      <c r="M71" s="160"/>
      <c r="N71" s="62"/>
      <c r="O71" s="62"/>
    </row>
    <row r="72" spans="1:18" s="67" customFormat="1" x14ac:dyDescent="0.3">
      <c r="A72" s="233">
        <v>100101</v>
      </c>
      <c r="B72" s="165" t="s">
        <v>221</v>
      </c>
      <c r="C72" s="165"/>
      <c r="D72" s="166"/>
      <c r="E72" s="166"/>
      <c r="F72" s="229">
        <f>IF(ISERROR(VLOOKUP($G$5,#REF!,9,FALSE)),0,VLOOKUP($G$5,#REF!,9,FALSE))</f>
        <v>0</v>
      </c>
      <c r="G72" s="171">
        <f>IF(ISERROR(VLOOKUP($G$5,'[45]IR Budget 2019 20'!$C:$M,11,FALSE)),0,VLOOKUP($G$5,'[45]IR Budget 2019 20'!$C:$M,11,FALSE))</f>
        <v>0</v>
      </c>
      <c r="H72" s="172">
        <f>G72-F72</f>
        <v>0</v>
      </c>
      <c r="I72" s="173" t="str">
        <f>IF(N72=TRUE,"n/a",IF(F72=0,"n/a",(H72/F72)*100))</f>
        <v>n/a</v>
      </c>
      <c r="K72" s="167"/>
      <c r="L72" s="167"/>
      <c r="M72" s="168"/>
      <c r="N72" s="169"/>
      <c r="O72" s="169"/>
    </row>
    <row r="73" spans="1:18" s="84" customFormat="1" ht="12.5" x14ac:dyDescent="0.25">
      <c r="A73" s="134">
        <v>100143</v>
      </c>
      <c r="B73" s="231" t="s">
        <v>190</v>
      </c>
      <c r="C73" s="16"/>
      <c r="D73" s="142">
        <f>IF(ISERROR(VLOOKUP($G$5,#REF!,4,FALSE)),0,VLOOKUP($G$5,#REF!,4,FALSE))</f>
        <v>0</v>
      </c>
      <c r="E73" s="142">
        <f>IF(ISERROR(VLOOKUP($G$5,#REF!,5,FALSE)),0,VLOOKUP($G$5,#REF!,5,FALSE))</f>
        <v>0</v>
      </c>
      <c r="F73" s="230">
        <f>IF(ISERROR(VLOOKUP($G$5,#REF!,22,FALSE)),0,VLOOKUP($G$5,#REF!,22,FALSE))</f>
        <v>0</v>
      </c>
      <c r="G73" s="170">
        <f>IF(ISERROR(VLOOKUP($G$5,#REF!,23,FALSE)),0,VLOOKUP($G$5,#REF!,23,FALSE))</f>
        <v>0</v>
      </c>
      <c r="H73" s="22">
        <f>G73-F73</f>
        <v>0</v>
      </c>
      <c r="I73" s="66" t="str">
        <f>IF(N73=TRUE,"n/a",IF(F73=0,"n/a",(H73/F73)*100))</f>
        <v>n/a</v>
      </c>
      <c r="K73" s="28"/>
      <c r="L73" s="28"/>
      <c r="M73" s="157"/>
    </row>
    <row r="74" spans="1:18" ht="12.5" x14ac:dyDescent="0.25">
      <c r="A74" s="220">
        <v>100261</v>
      </c>
      <c r="B74" s="16" t="s">
        <v>147</v>
      </c>
      <c r="C74" s="100"/>
      <c r="D74" s="100"/>
      <c r="E74" s="101"/>
      <c r="F74" s="230">
        <f>IF(ISERROR(VLOOKUP($G$5,#REF!,23,FALSE)),0,VLOOKUP($G$5,#REF!,23,FALSE))</f>
        <v>0</v>
      </c>
      <c r="G74" s="170">
        <f>IF(ISERROR(VLOOKUP($G$5,#REF!,24,FALSE)),0,VLOOKUP($G$5,#REF!,24,FALSE))</f>
        <v>0</v>
      </c>
      <c r="H74" s="22">
        <f>G74-F74</f>
        <v>0</v>
      </c>
      <c r="I74" s="66" t="str">
        <f>IF(N74=TRUE,"n/a",IF(F74=0,"n/a",(H74/F74)*100))</f>
        <v>n/a</v>
      </c>
      <c r="M74" s="157"/>
    </row>
    <row r="75" spans="1:18" thickBot="1" x14ac:dyDescent="0.3">
      <c r="A75" s="134"/>
      <c r="B75" s="209"/>
      <c r="C75" s="93"/>
      <c r="D75" s="93"/>
      <c r="E75" s="94"/>
      <c r="F75" s="86"/>
      <c r="G75" s="86"/>
      <c r="H75" s="102"/>
      <c r="I75" s="84"/>
      <c r="M75" s="157"/>
    </row>
    <row r="76" spans="1:18" ht="14.5" thickBot="1" x14ac:dyDescent="0.35">
      <c r="A76" s="215"/>
      <c r="B76" s="3" t="s">
        <v>80</v>
      </c>
      <c r="C76" s="3"/>
      <c r="D76" s="3"/>
      <c r="E76" s="3" t="s">
        <v>78</v>
      </c>
      <c r="F76" s="103">
        <f>SUM(F73:F75)</f>
        <v>0</v>
      </c>
      <c r="G76" s="91">
        <f>SUM(G73:G75)</f>
        <v>0</v>
      </c>
      <c r="H76" s="91">
        <f>G76-F76</f>
        <v>0</v>
      </c>
      <c r="I76" s="92" t="str">
        <f>IF(N76=TRUE,"n/a",IF(F76=0,"n/a",(H76/F76)*100))</f>
        <v>n/a</v>
      </c>
      <c r="M76" s="157"/>
    </row>
    <row r="77" spans="1:18" ht="14" x14ac:dyDescent="0.3">
      <c r="A77" s="215"/>
      <c r="B77" s="210"/>
      <c r="C77" s="4"/>
      <c r="D77" s="4"/>
      <c r="E77" s="4"/>
      <c r="F77" s="104"/>
      <c r="G77" s="105"/>
      <c r="H77" s="105"/>
      <c r="I77" s="106"/>
      <c r="M77" s="157"/>
    </row>
    <row r="78" spans="1:18" s="26" customFormat="1" ht="13.5" thickBot="1" x14ac:dyDescent="0.35">
      <c r="A78" s="134">
        <v>100333</v>
      </c>
      <c r="B78" s="93" t="s">
        <v>222</v>
      </c>
      <c r="C78" s="107"/>
      <c r="D78" s="107"/>
      <c r="E78" s="108"/>
      <c r="F78" s="98">
        <f>VLOOKUP(G5,[46]summary!$C:$BP,65,FALSE)+VLOOKUP(G5,[46]summary!$C:$BP,66,FALSE)</f>
        <v>256425.9453781512</v>
      </c>
      <c r="G78" s="98">
        <f>F78</f>
        <v>256425.9453781512</v>
      </c>
      <c r="H78" s="22">
        <f>G78-F78</f>
        <v>0</v>
      </c>
      <c r="I78" s="66">
        <f>IF(N78=TRUE,"n/a",IF(F78=0,"n/a",(H78/F78)*100))</f>
        <v>0</v>
      </c>
      <c r="K78" s="28"/>
      <c r="L78" s="28"/>
      <c r="M78" s="157"/>
    </row>
    <row r="79" spans="1:18" ht="14.5" thickBot="1" x14ac:dyDescent="0.35">
      <c r="A79" s="134"/>
      <c r="B79" s="211" t="s">
        <v>81</v>
      </c>
      <c r="C79" s="3"/>
      <c r="D79" s="3"/>
      <c r="E79" s="3" t="s">
        <v>79</v>
      </c>
      <c r="F79" s="109">
        <f>SUM(F78)</f>
        <v>256425.9453781512</v>
      </c>
      <c r="G79" s="110">
        <f>SUM(G78)</f>
        <v>256425.9453781512</v>
      </c>
      <c r="H79" s="91">
        <f>G79-F79</f>
        <v>0</v>
      </c>
      <c r="I79" s="92">
        <f>IF(N79=TRUE,"n/a",IF(F79=0,"n/a",(H79/F79)*100))</f>
        <v>0</v>
      </c>
      <c r="K79" s="56"/>
      <c r="L79" s="56"/>
      <c r="M79" s="161"/>
    </row>
    <row r="80" spans="1:18" ht="13.5" thickBot="1" x14ac:dyDescent="0.35">
      <c r="A80" s="215"/>
      <c r="B80" s="111"/>
      <c r="C80" s="111"/>
      <c r="D80" s="111"/>
      <c r="E80" s="111"/>
      <c r="F80" s="27"/>
      <c r="M80" s="157"/>
    </row>
    <row r="81" spans="1:13" ht="18.5" thickBot="1" x14ac:dyDescent="0.4">
      <c r="A81" s="215"/>
      <c r="B81" s="212" t="s">
        <v>134</v>
      </c>
      <c r="C81" s="18"/>
      <c r="D81" s="18"/>
      <c r="E81" s="19"/>
      <c r="F81" s="112">
        <f>F79+F76+F68</f>
        <v>1867191.7309457308</v>
      </c>
      <c r="G81" s="113">
        <f>G79+G76+G68</f>
        <v>2878973.4618687299</v>
      </c>
      <c r="H81" s="114">
        <f>H79+H76+H68</f>
        <v>623853.45931012335</v>
      </c>
      <c r="I81" s="115">
        <f>IF(N81=TRUE,"n/a",IF(F81=0,"n/a",(H81/F81)*100))</f>
        <v>33.411322949365363</v>
      </c>
      <c r="K81" s="26"/>
      <c r="L81" s="26"/>
      <c r="M81" s="162"/>
    </row>
    <row r="82" spans="1:13" s="99" customFormat="1" ht="6.75" customHeight="1" thickBot="1" x14ac:dyDescent="0.35">
      <c r="A82" s="221"/>
      <c r="B82" s="117"/>
      <c r="C82" s="4"/>
      <c r="D82" s="4"/>
      <c r="E82" s="4"/>
      <c r="F82" s="118"/>
      <c r="G82" s="118"/>
      <c r="H82" s="118"/>
      <c r="I82" s="119"/>
      <c r="K82" s="26"/>
      <c r="L82" s="26"/>
      <c r="M82" s="162"/>
    </row>
    <row r="83" spans="1:13" ht="16" thickBot="1" x14ac:dyDescent="0.35">
      <c r="A83" s="215"/>
      <c r="B83" s="213" t="s">
        <v>72</v>
      </c>
      <c r="C83" s="6"/>
      <c r="D83" s="6"/>
      <c r="E83" s="7"/>
      <c r="F83" s="109">
        <f>(F19*4%)+(F26*50%)+F43</f>
        <v>38808.756948962618</v>
      </c>
      <c r="G83" s="110">
        <f>(G19*4%)+(G26*50%)+G43</f>
        <v>132082.65351739322</v>
      </c>
      <c r="H83" s="91">
        <f>G83-F83</f>
        <v>93273.896568430602</v>
      </c>
      <c r="I83" s="120">
        <f>(H83/F83)*100</f>
        <v>240.34239666860512</v>
      </c>
      <c r="M83" s="157"/>
    </row>
    <row r="84" spans="1:13" x14ac:dyDescent="0.3">
      <c r="A84" s="215"/>
      <c r="B84" s="84"/>
      <c r="C84" s="111"/>
      <c r="D84" s="111"/>
      <c r="E84" s="111"/>
      <c r="F84" s="27"/>
      <c r="K84" s="84"/>
      <c r="L84" s="84"/>
      <c r="M84" s="160"/>
    </row>
    <row r="85" spans="1:13" ht="15.5" x14ac:dyDescent="0.3">
      <c r="A85" s="215"/>
      <c r="B85" s="121" t="s">
        <v>11</v>
      </c>
      <c r="C85" s="122"/>
      <c r="D85" s="122"/>
      <c r="E85" s="122"/>
      <c r="F85" s="123">
        <f>F81/F12</f>
        <v>5594.5819653804665</v>
      </c>
      <c r="G85" s="123">
        <f>G81/G12</f>
        <v>5539.1504797859161</v>
      </c>
      <c r="H85" s="123">
        <f>G85-F85</f>
        <v>-55.431485594550395</v>
      </c>
      <c r="I85" s="124">
        <f>H85/F85*100</f>
        <v>-0.99080656852581672</v>
      </c>
      <c r="K85" s="56"/>
      <c r="L85" s="56"/>
      <c r="M85" s="161"/>
    </row>
    <row r="86" spans="1:13" ht="15.5" x14ac:dyDescent="0.3">
      <c r="A86" s="215"/>
      <c r="B86" s="121" t="s">
        <v>138</v>
      </c>
      <c r="C86" s="122"/>
      <c r="D86" s="122"/>
      <c r="E86" s="122"/>
      <c r="F86" s="123">
        <f>(F81-F55-F57)/F12</f>
        <v>5489.5272837325265</v>
      </c>
      <c r="G86" s="123">
        <f>(G81-G55-G57)/G12</f>
        <v>5473.0558188912546</v>
      </c>
      <c r="H86" s="123">
        <f>G86-F86</f>
        <v>-16.471464841271882</v>
      </c>
      <c r="I86" s="124">
        <f>H86/F86*100</f>
        <v>-0.30005251800246707</v>
      </c>
      <c r="K86" s="56"/>
      <c r="L86" s="56"/>
      <c r="M86" s="161"/>
    </row>
    <row r="87" spans="1:13" x14ac:dyDescent="0.3">
      <c r="A87" s="215"/>
      <c r="B87" s="121" t="s">
        <v>154</v>
      </c>
      <c r="C87" s="125"/>
      <c r="D87" s="125"/>
      <c r="E87" s="125"/>
      <c r="F87" s="123">
        <f>(F68-F55-F57)/F12</f>
        <v>4721.2098443972418</v>
      </c>
      <c r="G87" s="123">
        <f>(G68-G55-G57)/G12</f>
        <v>4979.6918066196795</v>
      </c>
      <c r="H87" s="123">
        <f>G87-F87</f>
        <v>258.48196222243769</v>
      </c>
      <c r="I87" s="124">
        <f>H87/F87*100</f>
        <v>5.474909413933033</v>
      </c>
      <c r="K87" s="56"/>
      <c r="L87" s="56"/>
      <c r="M87" s="161"/>
    </row>
    <row r="88" spans="1:13" s="99" customFormat="1" ht="13.5" thickBot="1" x14ac:dyDescent="0.35">
      <c r="A88" s="221"/>
      <c r="B88" s="126"/>
      <c r="C88" s="127"/>
      <c r="D88" s="127"/>
      <c r="E88" s="127"/>
      <c r="F88" s="128"/>
      <c r="G88" s="129"/>
      <c r="H88" s="129"/>
      <c r="I88" s="130"/>
      <c r="K88" s="28"/>
      <c r="L88" s="28"/>
      <c r="M88" s="157"/>
    </row>
    <row r="89" spans="1:13" s="56" customFormat="1" ht="14.5" thickBot="1" x14ac:dyDescent="0.35">
      <c r="A89" s="218"/>
      <c r="B89" s="3" t="s">
        <v>63</v>
      </c>
      <c r="C89" s="3"/>
      <c r="D89" s="3"/>
      <c r="E89" s="5"/>
      <c r="F89" s="91">
        <f>F68</f>
        <v>1610765.7855675796</v>
      </c>
      <c r="G89" s="91">
        <f>G68</f>
        <v>2622547.5164905787</v>
      </c>
      <c r="H89" s="91">
        <f>G89-F89</f>
        <v>1011781.7309229991</v>
      </c>
      <c r="I89" s="92">
        <f>IF(N89=TRUE,"n/a",IF(F89=0,"n/a",(H89/F89)*100))</f>
        <v>62.813708857522158</v>
      </c>
      <c r="K89" s="28"/>
      <c r="L89" s="28"/>
      <c r="M89" s="154"/>
    </row>
    <row r="90" spans="1:13" s="56" customFormat="1" ht="14.5" thickBot="1" x14ac:dyDescent="0.35">
      <c r="A90" s="218"/>
      <c r="B90" s="3" t="s">
        <v>64</v>
      </c>
      <c r="C90" s="3"/>
      <c r="D90" s="3"/>
      <c r="E90" s="5"/>
      <c r="F90" s="91" t="e">
        <f>-VLOOKUP($H$5,#REF!,6,FALSE)</f>
        <v>#REF!</v>
      </c>
      <c r="G90" s="91">
        <f>E23</f>
        <v>-13893.172499999999</v>
      </c>
      <c r="H90" s="91" t="e">
        <f>G90-F90</f>
        <v>#REF!</v>
      </c>
      <c r="I90" s="92" t="e">
        <f>IF(N90=TRUE,"n/a",IF(F90=0,"n/a",(H90/F90)*100))</f>
        <v>#REF!</v>
      </c>
      <c r="K90" s="28"/>
      <c r="L90" s="28"/>
      <c r="M90" s="154"/>
    </row>
    <row r="91" spans="1:13" s="56" customFormat="1" ht="14.5" thickBot="1" x14ac:dyDescent="0.35">
      <c r="A91" s="222"/>
      <c r="B91" s="3" t="s">
        <v>65</v>
      </c>
      <c r="C91" s="3"/>
      <c r="D91" s="3"/>
      <c r="E91" s="5"/>
      <c r="F91" s="91" t="e">
        <f>SUM(F89:F90)</f>
        <v>#REF!</v>
      </c>
      <c r="G91" s="91">
        <f>SUM(G89:G90)</f>
        <v>2608654.3439905788</v>
      </c>
      <c r="H91" s="91" t="e">
        <f>SUM(H89:H90)</f>
        <v>#REF!</v>
      </c>
      <c r="I91" s="92" t="e">
        <f>IF(N91=TRUE,"n/a",IF(F91=0,"n/a",(H91/F91)*100))</f>
        <v>#REF!</v>
      </c>
      <c r="K91" s="28"/>
      <c r="L91" s="28"/>
      <c r="M91" s="154"/>
    </row>
    <row r="92" spans="1:13" s="56" customFormat="1" ht="14" x14ac:dyDescent="0.3">
      <c r="A92" s="96"/>
      <c r="B92" s="4"/>
      <c r="C92" s="4"/>
      <c r="D92" s="4"/>
      <c r="E92" s="4"/>
      <c r="F92" s="131"/>
      <c r="G92" s="105"/>
      <c r="H92" s="105"/>
      <c r="I92" s="132"/>
      <c r="K92" s="28"/>
      <c r="L92" s="28"/>
      <c r="M92" s="154"/>
    </row>
    <row r="93" spans="1:13" ht="14" hidden="1" outlineLevel="1" x14ac:dyDescent="0.3">
      <c r="B93" s="15" t="s">
        <v>111</v>
      </c>
      <c r="C93" s="15" t="s">
        <v>112</v>
      </c>
      <c r="D93" s="15" t="s">
        <v>113</v>
      </c>
      <c r="E93" s="15" t="s">
        <v>114</v>
      </c>
      <c r="F93" s="15" t="s">
        <v>115</v>
      </c>
      <c r="G93" s="15" t="s">
        <v>116</v>
      </c>
    </row>
    <row r="94" spans="1:13" hidden="1" outlineLevel="1" x14ac:dyDescent="0.3">
      <c r="A94" s="24">
        <v>1</v>
      </c>
      <c r="B94" s="17" t="s">
        <v>260</v>
      </c>
      <c r="C94" s="245">
        <v>1</v>
      </c>
      <c r="D94" s="133">
        <v>64014</v>
      </c>
      <c r="E94" s="20">
        <v>4014</v>
      </c>
      <c r="F94" s="20">
        <v>4998</v>
      </c>
      <c r="G94" s="17" t="s">
        <v>110</v>
      </c>
    </row>
    <row r="95" spans="1:13" hidden="1" outlineLevel="1" x14ac:dyDescent="0.3">
      <c r="A95" s="24">
        <v>2</v>
      </c>
      <c r="B95" s="17" t="s">
        <v>137</v>
      </c>
      <c r="C95" s="245">
        <v>2</v>
      </c>
      <c r="D95" s="133">
        <v>64225</v>
      </c>
      <c r="E95" s="20">
        <v>4225</v>
      </c>
      <c r="F95" s="20"/>
      <c r="G95" s="17" t="s">
        <v>110</v>
      </c>
    </row>
    <row r="96" spans="1:13" hidden="1" outlineLevel="1" x14ac:dyDescent="0.3">
      <c r="A96" s="24">
        <v>3</v>
      </c>
      <c r="B96" s="17" t="s">
        <v>142</v>
      </c>
      <c r="C96" s="245">
        <v>3</v>
      </c>
      <c r="D96" s="133">
        <v>64005</v>
      </c>
      <c r="E96" s="20">
        <v>4005</v>
      </c>
      <c r="F96" s="20"/>
      <c r="G96" s="17" t="s">
        <v>110</v>
      </c>
    </row>
    <row r="97" spans="13:13" collapsed="1" x14ac:dyDescent="0.3">
      <c r="M97" s="28"/>
    </row>
  </sheetData>
  <mergeCells count="11">
    <mergeCell ref="B22:D22"/>
    <mergeCell ref="B23:D23"/>
    <mergeCell ref="D70:E70"/>
    <mergeCell ref="F70:G70"/>
    <mergeCell ref="H1:I2"/>
    <mergeCell ref="K4:P4"/>
    <mergeCell ref="M5:P5"/>
    <mergeCell ref="F6:G6"/>
    <mergeCell ref="H6:I6"/>
    <mergeCell ref="F13:G13"/>
    <mergeCell ref="H13:I13"/>
  </mergeCells>
  <conditionalFormatting sqref="O17 M88 M80:M83 O62 N69:O72 M73:M78 M69 O66 K19:L24 K26:L41 K43:L44 K46:L62">
    <cfRule type="cellIs" dxfId="6" priority="7" stopIfTrue="1" operator="equal">
      <formula>TRUE</formula>
    </cfRule>
  </conditionalFormatting>
  <conditionalFormatting sqref="N62 N67 M68">
    <cfRule type="cellIs" dxfId="5" priority="5" stopIfTrue="1" operator="equal">
      <formula>TRUE</formula>
    </cfRule>
  </conditionalFormatting>
  <conditionalFormatting sqref="N61 N66 M67">
    <cfRule type="cellIs" dxfId="4" priority="6" stopIfTrue="1" operator="equal">
      <formula>TRUE</formula>
    </cfRule>
  </conditionalFormatting>
  <conditionalFormatting sqref="K18:L18">
    <cfRule type="cellIs" dxfId="3" priority="4" stopIfTrue="1" operator="equal">
      <formula>TRUE</formula>
    </cfRule>
  </conditionalFormatting>
  <conditionalFormatting sqref="K25:L25">
    <cfRule type="cellIs" dxfId="2" priority="3" stopIfTrue="1" operator="equal">
      <formula>TRUE</formula>
    </cfRule>
  </conditionalFormatting>
  <conditionalFormatting sqref="K42:L42">
    <cfRule type="cellIs" dxfId="1" priority="2" stopIfTrue="1" operator="equal">
      <formula>TRUE</formula>
    </cfRule>
  </conditionalFormatting>
  <conditionalFormatting sqref="K45:L45">
    <cfRule type="cellIs" dxfId="0" priority="1" stopIfTrue="1" operator="equal">
      <formula>TRUE</formula>
    </cfRule>
  </conditionalFormatting>
  <hyperlinks>
    <hyperlink ref="H1:I2" location="Instructions!C17" tooltip="Link to Instructions" display="Back to Main Menu" xr:uid="{00000000-0004-0000-0C00-000000000000}"/>
  </hyperlinks>
  <pageMargins left="0.19125" right="0.16" top="0.22" bottom="0.4" header="0.2" footer="0.16"/>
  <pageSetup paperSize="9" scale="68" orientation="portrait" horizontalDpi="1200" verticalDpi="1200" r:id="rId1"/>
  <headerFooter alignWithMargins="0">
    <oddFooter>&amp;L&amp;8For queries please contact:  jacky.beatson@sheffield.gov.uk&amp;R&amp;9&amp;D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2" r:id="rId4" name="Drop Down 2">
              <controlPr defaultSize="0" print="0" autoLine="0" autoPict="0">
                <anchor moveWithCells="1">
                  <from>
                    <xdr:col>1</xdr:col>
                    <xdr:colOff>63500</xdr:colOff>
                    <xdr:row>1</xdr:row>
                    <xdr:rowOff>69850</xdr:rowOff>
                  </from>
                  <to>
                    <xdr:col>1</xdr:col>
                    <xdr:colOff>2235200</xdr:colOff>
                    <xdr:row>1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autoPageBreaks="0"/>
  </sheetPr>
  <dimension ref="A1:C22"/>
  <sheetViews>
    <sheetView showRowColHeaders="0" workbookViewId="0">
      <selection activeCell="C10" sqref="C10"/>
    </sheetView>
  </sheetViews>
  <sheetFormatPr defaultColWidth="9.08984375" defaultRowHeight="12.5" x14ac:dyDescent="0.25"/>
  <cols>
    <col min="1" max="1" width="3.08984375" style="9" customWidth="1"/>
    <col min="2" max="2" width="1" style="9" customWidth="1"/>
    <col min="3" max="3" width="86.6328125" style="9" bestFit="1" customWidth="1"/>
    <col min="4" max="16384" width="9.08984375" style="9"/>
  </cols>
  <sheetData>
    <row r="1" spans="1:3" ht="24.65" customHeight="1" x14ac:dyDescent="0.5">
      <c r="A1" s="8" t="s">
        <v>418</v>
      </c>
    </row>
    <row r="3" spans="1:3" ht="15.5" x14ac:dyDescent="0.35">
      <c r="C3" s="10" t="s">
        <v>45</v>
      </c>
    </row>
    <row r="5" spans="1:3" ht="15.5" x14ac:dyDescent="0.35">
      <c r="C5" s="11"/>
    </row>
    <row r="6" spans="1:3" ht="16" thickBot="1" x14ac:dyDescent="0.4">
      <c r="C6" s="12" t="s">
        <v>17</v>
      </c>
    </row>
    <row r="7" spans="1:3" ht="15.5" x14ac:dyDescent="0.35">
      <c r="A7" s="9">
        <v>1</v>
      </c>
      <c r="C7" s="252" t="s">
        <v>43</v>
      </c>
    </row>
    <row r="8" spans="1:3" ht="15.5" x14ac:dyDescent="0.35">
      <c r="A8" s="9">
        <v>2</v>
      </c>
      <c r="C8" s="187" t="s">
        <v>44</v>
      </c>
    </row>
    <row r="9" spans="1:3" ht="15.5" x14ac:dyDescent="0.35">
      <c r="A9" s="9">
        <v>3</v>
      </c>
      <c r="C9" s="187" t="s">
        <v>146</v>
      </c>
    </row>
    <row r="10" spans="1:3" ht="15.5" x14ac:dyDescent="0.35">
      <c r="A10" s="9">
        <v>4</v>
      </c>
      <c r="C10" s="187" t="s">
        <v>374</v>
      </c>
    </row>
    <row r="11" spans="1:3" ht="16" thickBot="1" x14ac:dyDescent="0.4">
      <c r="A11" s="9">
        <v>5</v>
      </c>
      <c r="C11" s="188" t="s">
        <v>373</v>
      </c>
    </row>
    <row r="12" spans="1:3" ht="15.5" x14ac:dyDescent="0.35">
      <c r="C12" s="145"/>
    </row>
    <row r="14" spans="1:3" x14ac:dyDescent="0.25">
      <c r="C14" s="13"/>
    </row>
    <row r="15" spans="1:3" x14ac:dyDescent="0.25">
      <c r="C15" s="13"/>
    </row>
    <row r="16" spans="1:3" x14ac:dyDescent="0.25">
      <c r="C16" s="13"/>
    </row>
    <row r="17" spans="3:3" x14ac:dyDescent="0.25">
      <c r="C17" s="13"/>
    </row>
    <row r="18" spans="3:3" x14ac:dyDescent="0.25">
      <c r="C18" s="13"/>
    </row>
    <row r="19" spans="3:3" ht="15.5" x14ac:dyDescent="0.35">
      <c r="C19" s="14" t="s">
        <v>16</v>
      </c>
    </row>
    <row r="20" spans="3:3" ht="15.5" x14ac:dyDescent="0.35">
      <c r="C20" s="11" t="s">
        <v>18</v>
      </c>
    </row>
    <row r="21" spans="3:3" x14ac:dyDescent="0.25">
      <c r="C21" s="13"/>
    </row>
    <row r="22" spans="3:3" ht="15.5" x14ac:dyDescent="0.35">
      <c r="C22" s="11" t="s">
        <v>19</v>
      </c>
    </row>
  </sheetData>
  <phoneticPr fontId="0" type="noConversion"/>
  <hyperlinks>
    <hyperlink ref="C20" r:id="rId1" tooltip="Send email to Sheffield School Budgets Team" xr:uid="{00000000-0004-0000-0100-000000000000}"/>
    <hyperlink ref="C8" location="Secondary!A1" tooltip="Secondary Budgets" display="Secondary School Budgets" xr:uid="{00000000-0004-0000-0100-000001000000}"/>
    <hyperlink ref="C3" location="Instructions!C7" tooltip="Select Budget Report Links" display="To view budgets: please select report links below as required" xr:uid="{00000000-0004-0000-0100-000002000000}"/>
    <hyperlink ref="C22" location="Template!A1" tooltip="First Page" display="Return to First Page of File" xr:uid="{00000000-0004-0000-0100-000003000000}"/>
    <hyperlink ref="C7" location="Primary!A1" tooltip="Primary Budgets" display="Primary School Budgets" xr:uid="{00000000-0004-0000-0100-000004000000}"/>
    <hyperlink ref="C10" location="'MFG-Gains A4'!A1" tooltip="MFG / Gains Cap" display="All Maintained Schools MFG / Gains Cap Calculation" xr:uid="{00000000-0004-0000-0100-000006000000}"/>
    <hyperlink ref="C11" location="'IR Budget 2023-24'!A1" display="Integrated Resource Budgets" xr:uid="{AF5E874F-0146-4DF0-83BC-43D98CEE30A8}"/>
    <hyperlink ref="C9" location="'Special 23-24'!A1" display="Special Schools" xr:uid="{00000000-0004-0000-0100-000005000000}"/>
  </hyperlinks>
  <pageMargins left="0.28999999999999998" right="0.17" top="1" bottom="1" header="0.5" footer="0.5"/>
  <pageSetup paperSize="9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  <pageSetUpPr autoPageBreaks="0" fitToPage="1"/>
  </sheetPr>
  <dimension ref="A1:U143"/>
  <sheetViews>
    <sheetView showGridLines="0" showRowColHeader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44" sqref="B144"/>
    </sheetView>
  </sheetViews>
  <sheetFormatPr defaultColWidth="10.6328125" defaultRowHeight="13" outlineLevelRow="1" outlineLevelCol="1" x14ac:dyDescent="0.3"/>
  <cols>
    <col min="1" max="1" width="8.36328125" style="116" bestFit="1" customWidth="1"/>
    <col min="2" max="2" width="26.1796875" style="99" customWidth="1"/>
    <col min="3" max="3" width="14.6328125" style="99" customWidth="1"/>
    <col min="4" max="4" width="10.453125" style="99" customWidth="1"/>
    <col min="5" max="5" width="10.36328125" style="99" customWidth="1"/>
    <col min="6" max="6" width="10.90625" style="99" customWidth="1"/>
    <col min="7" max="7" width="12.36328125" style="98" customWidth="1"/>
    <col min="8" max="8" width="13.90625" style="243" customWidth="1"/>
    <col min="9" max="9" width="13.453125" style="99" bestFit="1" customWidth="1"/>
    <col min="10" max="10" width="10.6328125" style="99" bestFit="1" customWidth="1"/>
    <col min="11" max="11" width="8" style="193" bestFit="1" customWidth="1"/>
    <col min="12" max="12" width="9.36328125" style="99" hidden="1" customWidth="1" outlineLevel="1"/>
    <col min="13" max="13" width="10.1796875" style="254" hidden="1" customWidth="1" outlineLevel="1"/>
    <col min="14" max="14" width="5.54296875" style="99" hidden="1" customWidth="1" outlineLevel="1"/>
    <col min="15" max="15" width="10.6328125" style="99" hidden="1" customWidth="1" outlineLevel="1"/>
    <col min="16" max="16" width="8.90625" style="99" hidden="1" customWidth="1" outlineLevel="1"/>
    <col min="17" max="17" width="6.26953125" style="99" hidden="1" customWidth="1" outlineLevel="1"/>
    <col min="18" max="18" width="11.453125" style="99" bestFit="1" customWidth="1" collapsed="1"/>
    <col min="19" max="16384" width="10.6328125" style="99"/>
  </cols>
  <sheetData>
    <row r="1" spans="1:21" ht="22.5" customHeight="1" x14ac:dyDescent="0.45">
      <c r="B1" s="253" t="s">
        <v>419</v>
      </c>
      <c r="C1" s="253"/>
      <c r="D1" s="253"/>
      <c r="E1" s="253"/>
      <c r="F1" s="253"/>
      <c r="I1" s="756" t="s">
        <v>76</v>
      </c>
      <c r="J1" s="757"/>
    </row>
    <row r="2" spans="1:21" ht="24" customHeight="1" thickBot="1" x14ac:dyDescent="0.35">
      <c r="I2" s="758"/>
      <c r="J2" s="759"/>
    </row>
    <row r="3" spans="1:21" ht="24" customHeight="1" x14ac:dyDescent="0.45">
      <c r="B3" s="253" t="str">
        <f>VLOOKUP(B4,A82:B142,2,FALSE)</f>
        <v>Carfield Primary School</v>
      </c>
      <c r="I3" s="136"/>
      <c r="J3" s="745">
        <f>VLOOKUP(I5,E82:G142,3,FALSE)</f>
        <v>0</v>
      </c>
    </row>
    <row r="4" spans="1:21" s="259" customFormat="1" ht="12.5" x14ac:dyDescent="0.25">
      <c r="A4" s="255"/>
      <c r="B4" s="185">
        <v>13</v>
      </c>
      <c r="C4" s="256"/>
      <c r="D4" s="256"/>
      <c r="E4" s="257"/>
      <c r="F4" s="258"/>
      <c r="H4" s="260">
        <f>VLOOKUP(B4,C82:J142,7,FALSE)</f>
        <v>0</v>
      </c>
      <c r="I4" s="351" t="str">
        <f>373&amp;I5</f>
        <v>3732344</v>
      </c>
      <c r="K4" s="193"/>
      <c r="L4" s="467"/>
      <c r="M4" s="467"/>
      <c r="N4" s="467"/>
      <c r="O4" s="467"/>
      <c r="P4" s="467"/>
    </row>
    <row r="5" spans="1:21" ht="13" hidden="1" customHeight="1" outlineLevel="1" x14ac:dyDescent="0.3">
      <c r="A5" s="261"/>
      <c r="B5" s="262"/>
      <c r="C5" s="262"/>
      <c r="D5" s="262"/>
      <c r="E5" s="262"/>
      <c r="F5" s="262"/>
      <c r="G5" s="262"/>
      <c r="H5" s="263" t="str">
        <f>VLOOKUP(B4,C82:D142,2,FALSE)</f>
        <v>72344</v>
      </c>
      <c r="I5" s="264">
        <f>VLOOKUP(H5,D82:E142,2,FALSE)</f>
        <v>2344</v>
      </c>
      <c r="J5" s="265">
        <f>IF(VLOOKUP(I5,E82:F142,2,FALSE)=0,I5,VLOOKUP(I5,E82:F142,2,FALSE))</f>
        <v>2344</v>
      </c>
      <c r="K5" s="266" t="str">
        <f>7&amp;J5</f>
        <v>72344</v>
      </c>
      <c r="L5" s="267"/>
      <c r="M5" s="148"/>
      <c r="N5" s="467"/>
      <c r="O5" s="467"/>
      <c r="P5" s="467"/>
      <c r="Q5" s="467"/>
    </row>
    <row r="6" spans="1:21" collapsed="1" x14ac:dyDescent="0.3">
      <c r="A6" s="221"/>
      <c r="B6" s="329" t="s">
        <v>0</v>
      </c>
      <c r="C6" s="329"/>
      <c r="D6" s="329"/>
      <c r="E6" s="329"/>
      <c r="F6" s="329"/>
      <c r="G6" s="330"/>
      <c r="H6" s="470" t="s">
        <v>1</v>
      </c>
      <c r="I6" s="469" t="s">
        <v>1</v>
      </c>
      <c r="J6" s="470" t="s">
        <v>2</v>
      </c>
      <c r="K6" s="469" t="s">
        <v>2</v>
      </c>
      <c r="L6" s="193"/>
      <c r="M6" s="149"/>
      <c r="N6" s="153"/>
      <c r="O6" s="150"/>
      <c r="P6" s="150"/>
      <c r="Q6" s="100"/>
    </row>
    <row r="7" spans="1:21" x14ac:dyDescent="0.3">
      <c r="A7" s="221"/>
      <c r="B7" s="331"/>
      <c r="C7" s="331"/>
      <c r="D7" s="331"/>
      <c r="E7" s="331"/>
      <c r="F7" s="331"/>
      <c r="G7" s="332"/>
      <c r="H7" s="302" t="s">
        <v>377</v>
      </c>
      <c r="I7" s="339" t="s">
        <v>420</v>
      </c>
      <c r="J7" s="339" t="s">
        <v>3</v>
      </c>
      <c r="K7" s="339" t="s">
        <v>4</v>
      </c>
      <c r="L7" s="193"/>
      <c r="M7" s="150"/>
      <c r="N7" s="155"/>
      <c r="O7" s="151"/>
      <c r="P7" s="150"/>
      <c r="Q7" s="100"/>
    </row>
    <row r="8" spans="1:21" x14ac:dyDescent="0.3">
      <c r="A8" s="268"/>
      <c r="B8" s="118" t="s">
        <v>183</v>
      </c>
      <c r="C8" s="118"/>
      <c r="D8" s="118"/>
      <c r="E8" s="118"/>
      <c r="F8" s="118"/>
      <c r="G8" s="333"/>
      <c r="H8" s="44">
        <f>VLOOKUP($I$5,[12]Pupils!$D:$I,6,FALSE)</f>
        <v>550</v>
      </c>
      <c r="I8" s="44">
        <f>VLOOKUP($I$5,[13]Pupils!$D:$I,6,FALSE)</f>
        <v>570</v>
      </c>
      <c r="J8" s="340">
        <f t="shared" ref="J8:J10" si="0">I8-H8</f>
        <v>20</v>
      </c>
      <c r="K8" s="184">
        <f>(J8/H8)*100</f>
        <v>3.6363636363636362</v>
      </c>
      <c r="L8" s="193"/>
      <c r="M8" s="152"/>
      <c r="N8" s="156"/>
      <c r="O8" s="150"/>
      <c r="P8" s="150"/>
      <c r="Q8" s="100"/>
    </row>
    <row r="9" spans="1:21" x14ac:dyDescent="0.3">
      <c r="A9" s="268"/>
      <c r="B9" s="118" t="s">
        <v>191</v>
      </c>
      <c r="C9" s="118"/>
      <c r="D9" s="118"/>
      <c r="E9" s="118"/>
      <c r="F9" s="118"/>
      <c r="G9" s="333"/>
      <c r="H9" s="328">
        <f>IFERROR(VLOOKUP(I5,'IR 22-23'!B:E,4,FALSE),0)</f>
        <v>0</v>
      </c>
      <c r="I9" s="328">
        <f>IFERROR(VLOOKUP(I5,'IR Budget 2023-24'!C:G,4,FALSE),0)</f>
        <v>0</v>
      </c>
      <c r="J9" s="340">
        <f t="shared" ref="J9" si="1">I9-H9</f>
        <v>0</v>
      </c>
      <c r="K9" s="184">
        <f>IF(ISERROR((J9/H9)*100),0,(J9/H9)*100)</f>
        <v>0</v>
      </c>
      <c r="L9" s="193"/>
      <c r="M9" s="152"/>
      <c r="N9" s="156"/>
      <c r="O9" s="150"/>
      <c r="P9" s="150"/>
      <c r="Q9" s="100"/>
    </row>
    <row r="10" spans="1:21" x14ac:dyDescent="0.3">
      <c r="A10" s="221" t="s">
        <v>13</v>
      </c>
      <c r="B10" s="334" t="s">
        <v>5</v>
      </c>
      <c r="C10" s="334"/>
      <c r="D10" s="334"/>
      <c r="E10" s="334"/>
      <c r="F10" s="334"/>
      <c r="G10" s="299"/>
      <c r="H10" s="224">
        <f>SUM(H8:H8)</f>
        <v>550</v>
      </c>
      <c r="I10" s="338">
        <f>SUM(I8:I8)</f>
        <v>570</v>
      </c>
      <c r="J10" s="341">
        <f t="shared" si="0"/>
        <v>20</v>
      </c>
      <c r="K10" s="408">
        <f>(J10/H10)*100</f>
        <v>3.6363636363636362</v>
      </c>
      <c r="L10" s="193"/>
      <c r="M10" s="149"/>
      <c r="N10" s="153"/>
      <c r="O10" s="150"/>
      <c r="P10" s="150"/>
      <c r="Q10" s="100"/>
    </row>
    <row r="11" spans="1:21" x14ac:dyDescent="0.3">
      <c r="A11" s="221" t="s">
        <v>14</v>
      </c>
      <c r="B11" s="118"/>
      <c r="C11" s="298"/>
      <c r="D11" s="468" t="s">
        <v>377</v>
      </c>
      <c r="E11" s="468" t="s">
        <v>377</v>
      </c>
      <c r="F11" s="491" t="s">
        <v>420</v>
      </c>
      <c r="G11" s="491" t="s">
        <v>420</v>
      </c>
      <c r="H11" s="471" t="s">
        <v>6</v>
      </c>
      <c r="I11" s="472" t="s">
        <v>6</v>
      </c>
      <c r="J11" s="471" t="s">
        <v>2</v>
      </c>
      <c r="K11" s="472" t="s">
        <v>2</v>
      </c>
      <c r="L11" s="193"/>
      <c r="M11" s="152"/>
      <c r="N11" s="156"/>
      <c r="O11" s="151"/>
      <c r="P11" s="150"/>
      <c r="Q11" s="100"/>
    </row>
    <row r="12" spans="1:21" x14ac:dyDescent="0.3">
      <c r="A12" s="221" t="s">
        <v>6</v>
      </c>
      <c r="B12" s="299" t="s">
        <v>12</v>
      </c>
      <c r="C12" s="300" t="s">
        <v>59</v>
      </c>
      <c r="D12" s="305" t="s">
        <v>66</v>
      </c>
      <c r="E12" s="306" t="s">
        <v>67</v>
      </c>
      <c r="F12" s="303" t="s">
        <v>66</v>
      </c>
      <c r="G12" s="304" t="s">
        <v>67</v>
      </c>
      <c r="H12" s="302" t="s">
        <v>377</v>
      </c>
      <c r="I12" s="339" t="s">
        <v>420</v>
      </c>
      <c r="J12" s="269" t="s">
        <v>8</v>
      </c>
      <c r="K12" s="269" t="s">
        <v>4</v>
      </c>
      <c r="L12" s="193"/>
      <c r="M12" s="152"/>
      <c r="N12" s="156"/>
      <c r="O12" s="151"/>
      <c r="P12" s="150"/>
      <c r="Q12" s="100"/>
    </row>
    <row r="13" spans="1:21" s="144" customFormat="1" ht="12" customHeight="1" x14ac:dyDescent="0.3">
      <c r="A13" s="221" t="s">
        <v>7</v>
      </c>
      <c r="B13" s="127"/>
      <c r="C13" s="127"/>
      <c r="D13" s="307"/>
      <c r="E13" s="307"/>
      <c r="F13" s="127"/>
      <c r="G13" s="270"/>
      <c r="I13" s="164"/>
      <c r="L13" s="193"/>
      <c r="M13" s="150"/>
      <c r="N13" s="156"/>
      <c r="O13" s="151"/>
      <c r="P13" s="150"/>
      <c r="Q13" s="100"/>
    </row>
    <row r="14" spans="1:21" ht="15.5" x14ac:dyDescent="0.35">
      <c r="A14" s="221"/>
      <c r="B14" s="127"/>
      <c r="C14" s="127"/>
      <c r="D14" s="307"/>
      <c r="E14" s="307"/>
      <c r="F14" s="383"/>
      <c r="G14" s="384"/>
      <c r="H14" s="64"/>
      <c r="I14" s="65"/>
      <c r="J14" s="22"/>
      <c r="K14" s="66"/>
      <c r="L14" s="193">
        <f>G16-E16</f>
        <v>50</v>
      </c>
      <c r="M14" s="152"/>
      <c r="N14" s="156"/>
      <c r="O14" s="150"/>
      <c r="P14" s="150"/>
      <c r="Q14" s="100"/>
    </row>
    <row r="15" spans="1:21" x14ac:dyDescent="0.3">
      <c r="A15" s="221"/>
      <c r="B15" s="127"/>
      <c r="C15" s="127"/>
      <c r="D15" s="307"/>
      <c r="E15" s="307"/>
      <c r="F15" s="127"/>
      <c r="G15" s="271"/>
      <c r="H15" s="64"/>
      <c r="I15" s="65"/>
      <c r="J15" s="22"/>
      <c r="K15" s="66"/>
      <c r="L15" s="193"/>
      <c r="M15" s="99"/>
      <c r="N15" s="272">
        <v>2223</v>
      </c>
      <c r="O15" s="272">
        <v>2324</v>
      </c>
      <c r="P15" s="273"/>
    </row>
    <row r="16" spans="1:21" x14ac:dyDescent="0.3">
      <c r="A16" s="220">
        <v>100101</v>
      </c>
      <c r="B16" s="80" t="s">
        <v>46</v>
      </c>
      <c r="C16" s="80" t="s">
        <v>47</v>
      </c>
      <c r="D16" s="309">
        <f>H10</f>
        <v>550</v>
      </c>
      <c r="E16" s="604">
        <f>'[12]pro-forma check'!$E$5</f>
        <v>3412.8685792877927</v>
      </c>
      <c r="F16" s="342">
        <f>I10</f>
        <v>570</v>
      </c>
      <c r="G16" s="647">
        <f>'[13]pro-forma check'!$E$5</f>
        <v>3462.8685792877927</v>
      </c>
      <c r="H16" s="64">
        <f>VLOOKUP($I$5,'[12]Budget Share'!$D:$Z,N16,FALSE)</f>
        <v>1877077.718608286</v>
      </c>
      <c r="I16" s="65">
        <f>VLOOKUP($I$5,'[13]Budget Share'!$D:$Z,O16,FALSE)</f>
        <v>1973835.0901940418</v>
      </c>
      <c r="J16" s="22">
        <f>I16-H16</f>
        <v>96757.371585755842</v>
      </c>
      <c r="K16" s="66">
        <f>IF(O16=TRUE,"n/a",IF(H16=0,"n/a",(J16/H16)*100))</f>
        <v>5.1546811635212562</v>
      </c>
      <c r="L16" s="193"/>
      <c r="M16" s="273" t="s">
        <v>46</v>
      </c>
      <c r="N16" s="274">
        <v>4</v>
      </c>
      <c r="O16" s="274">
        <v>4</v>
      </c>
      <c r="P16" s="195">
        <f>F16*G16</f>
        <v>1973835.0901940418</v>
      </c>
      <c r="Q16" s="195">
        <f>I16-P16</f>
        <v>0</v>
      </c>
      <c r="S16" s="275"/>
      <c r="T16" s="276"/>
      <c r="U16" s="276"/>
    </row>
    <row r="17" spans="1:21" ht="6.5" customHeight="1" x14ac:dyDescent="0.3">
      <c r="A17" s="220"/>
      <c r="B17" s="80"/>
      <c r="C17" s="80"/>
      <c r="D17" s="310"/>
      <c r="E17" s="310"/>
      <c r="F17" s="228"/>
      <c r="G17" s="63"/>
      <c r="H17" s="64"/>
      <c r="I17" s="65"/>
      <c r="J17" s="22"/>
      <c r="K17" s="66"/>
      <c r="L17" s="193"/>
      <c r="M17" s="273"/>
      <c r="N17" s="274"/>
      <c r="O17" s="274"/>
      <c r="P17" s="195"/>
      <c r="Q17" s="195"/>
      <c r="S17" s="275"/>
      <c r="T17" s="276"/>
      <c r="U17" s="276"/>
    </row>
    <row r="18" spans="1:21" x14ac:dyDescent="0.3">
      <c r="A18" s="221"/>
      <c r="B18" s="80" t="s">
        <v>379</v>
      </c>
      <c r="C18" s="80"/>
      <c r="D18" s="80"/>
      <c r="E18" s="80"/>
      <c r="F18" s="80"/>
      <c r="G18" s="81"/>
      <c r="H18" s="64">
        <f>VLOOKUP($I$5,'[12]Budget Share'!$D:$Z,N18,FALSE)</f>
        <v>0</v>
      </c>
      <c r="I18" s="65">
        <f>VLOOKUP($I$5,'[13]Budget Share'!$D:$Z,O18,FALSE)</f>
        <v>0</v>
      </c>
      <c r="J18" s="22">
        <f>I18-H18</f>
        <v>0</v>
      </c>
      <c r="K18" s="66" t="str">
        <f>IF(O18=TRUE,"n/a",IF(H18=0,"n/a",(J18/H18)*100))</f>
        <v>n/a</v>
      </c>
      <c r="L18" s="193"/>
      <c r="M18" s="273"/>
      <c r="N18" s="274">
        <v>14</v>
      </c>
      <c r="O18" s="274">
        <v>14</v>
      </c>
      <c r="P18" s="195"/>
      <c r="Q18" s="195"/>
      <c r="S18" s="278"/>
    </row>
    <row r="19" spans="1:21" x14ac:dyDescent="0.3">
      <c r="A19" s="220"/>
      <c r="B19" s="343" t="s">
        <v>378</v>
      </c>
      <c r="C19" s="374"/>
      <c r="D19" s="375"/>
      <c r="E19" s="375"/>
      <c r="F19" s="376"/>
      <c r="G19" s="377"/>
      <c r="H19" s="365">
        <f>SUM(H16:H18)</f>
        <v>1877077.718608286</v>
      </c>
      <c r="I19" s="339">
        <f>SUM(I16:I18)</f>
        <v>1973835.0901940418</v>
      </c>
      <c r="J19" s="366">
        <f>I19-H19</f>
        <v>96757.371585755842</v>
      </c>
      <c r="K19" s="367">
        <f>IF(O19=TRUE,"n/a",IF(H19=0,"n/a",(J19/H19)*100))</f>
        <v>5.1546811635212562</v>
      </c>
      <c r="L19" s="193"/>
      <c r="M19" s="273"/>
      <c r="N19" s="274"/>
      <c r="O19" s="274"/>
      <c r="P19" s="195"/>
      <c r="Q19" s="195"/>
      <c r="S19" s="275"/>
      <c r="T19" s="276"/>
      <c r="U19" s="276"/>
    </row>
    <row r="20" spans="1:21" x14ac:dyDescent="0.3">
      <c r="A20" s="220"/>
      <c r="B20" s="308" t="s">
        <v>67</v>
      </c>
      <c r="C20" s="80"/>
      <c r="D20" s="310"/>
      <c r="E20" s="310"/>
      <c r="F20" s="228"/>
      <c r="G20" s="63"/>
      <c r="H20" s="370">
        <f>H19/H10</f>
        <v>3412.8685792877927</v>
      </c>
      <c r="I20" s="371">
        <f>I19/I10</f>
        <v>3462.8685792877927</v>
      </c>
      <c r="J20" s="372">
        <f>I20-H20</f>
        <v>50</v>
      </c>
      <c r="K20" s="373">
        <f>IF(O20=TRUE,"n/a",IF(H20=0,"n/a",(J20/H20)*100))</f>
        <v>1.4650432279591072</v>
      </c>
      <c r="L20" s="193"/>
      <c r="M20" s="273"/>
      <c r="N20" s="274"/>
      <c r="O20" s="274"/>
      <c r="P20" s="195"/>
      <c r="Q20" s="195"/>
      <c r="S20" s="275"/>
      <c r="T20" s="276"/>
      <c r="U20" s="276"/>
    </row>
    <row r="21" spans="1:21" s="71" customFormat="1" x14ac:dyDescent="0.3">
      <c r="A21" s="277"/>
      <c r="B21" s="189"/>
      <c r="C21" s="189"/>
      <c r="D21" s="189"/>
      <c r="E21" s="189"/>
      <c r="F21" s="189"/>
      <c r="G21" s="70"/>
      <c r="H21" s="64"/>
      <c r="I21" s="65"/>
      <c r="J21" s="77"/>
      <c r="K21" s="72"/>
      <c r="L21" s="193"/>
      <c r="M21" s="273"/>
      <c r="N21" s="274"/>
      <c r="O21" s="274"/>
      <c r="P21" s="195"/>
      <c r="Q21" s="195"/>
      <c r="S21" s="278"/>
    </row>
    <row r="22" spans="1:21" x14ac:dyDescent="0.3">
      <c r="A22" s="221"/>
      <c r="B22" s="80" t="s">
        <v>48</v>
      </c>
      <c r="C22" s="80" t="s">
        <v>68</v>
      </c>
      <c r="D22" s="309">
        <f>VLOOKUP($I$5,[12]FSM!$E:$N,5,FALSE)</f>
        <v>143</v>
      </c>
      <c r="E22" s="310">
        <f>'[12]pro-forma check'!$E$8</f>
        <v>363.56608428317645</v>
      </c>
      <c r="F22" s="700">
        <f>VLOOKUP($I$5,[13]FSM!$E:$N,5,FALSE)</f>
        <v>141.00000000000023</v>
      </c>
      <c r="G22" s="396">
        <f>'[13]pro-forma check'!$E$8</f>
        <v>393.59999999999997</v>
      </c>
      <c r="H22" s="64">
        <f>VLOOKUP($I$5,'[12]Budget Share'!$D:$Z,N22,FALSE)</f>
        <v>51989.950052494234</v>
      </c>
      <c r="I22" s="65">
        <f>VLOOKUP($I$5,'[13]Budget Share'!$D:$Z,O22,FALSE)</f>
        <v>55497.600000000086</v>
      </c>
      <c r="J22" s="22">
        <f t="shared" ref="J22:J23" si="2">I22-H22</f>
        <v>3507.6499475058517</v>
      </c>
      <c r="K22" s="66">
        <f t="shared" ref="K22:K23" si="3">IF(O22=TRUE,"n/a",IF(H22=0,"n/a",(J22/H22)*100))</f>
        <v>6.7467846073408015</v>
      </c>
      <c r="L22" s="267"/>
      <c r="M22" s="273" t="s">
        <v>68</v>
      </c>
      <c r="N22" s="274">
        <v>5</v>
      </c>
      <c r="O22" s="274">
        <v>5</v>
      </c>
      <c r="P22" s="195">
        <f>F22*G22</f>
        <v>55497.600000000086</v>
      </c>
      <c r="Q22" s="195">
        <f>I22-P22</f>
        <v>0</v>
      </c>
      <c r="S22" s="278"/>
    </row>
    <row r="23" spans="1:21" x14ac:dyDescent="0.3">
      <c r="A23" s="221"/>
      <c r="B23" s="80"/>
      <c r="C23" s="80" t="s">
        <v>278</v>
      </c>
      <c r="D23" s="309">
        <f>VLOOKUP($I$5,[12]FSM!$E:$N,8,FALSE)</f>
        <v>154.00000000000003</v>
      </c>
      <c r="E23" s="310">
        <f>'[12]pro-forma check'!$E$10</f>
        <v>476.59118920722159</v>
      </c>
      <c r="F23" s="700">
        <f>VLOOKUP($I$5,[13]FSM!$E:$N,8,FALSE)</f>
        <v>146</v>
      </c>
      <c r="G23" s="396">
        <f>'[13]pro-forma check'!$E$10</f>
        <v>602.92999999999995</v>
      </c>
      <c r="H23" s="64">
        <f>VLOOKUP($I$5,'[12]Budget Share'!$D:$Z,N23,FALSE)</f>
        <v>73395.043137912144</v>
      </c>
      <c r="I23" s="65">
        <f>VLOOKUP($I$5,'[13]Budget Share'!$D:$Z,O23,FALSE)</f>
        <v>88027.78</v>
      </c>
      <c r="J23" s="22">
        <f t="shared" si="2"/>
        <v>14632.736862087855</v>
      </c>
      <c r="K23" s="66">
        <f t="shared" si="3"/>
        <v>19.936955190001555</v>
      </c>
      <c r="L23" s="267"/>
      <c r="M23" s="273"/>
      <c r="N23" s="274">
        <v>6</v>
      </c>
      <c r="O23" s="274">
        <v>6</v>
      </c>
      <c r="P23" s="195">
        <f>F23*G23</f>
        <v>88027.78</v>
      </c>
      <c r="Q23" s="195">
        <f>I23-P23</f>
        <v>0</v>
      </c>
      <c r="S23" s="278"/>
    </row>
    <row r="24" spans="1:21" x14ac:dyDescent="0.3">
      <c r="A24" s="221"/>
      <c r="B24" s="80"/>
      <c r="C24" s="80"/>
      <c r="D24" s="695"/>
      <c r="E24" s="695"/>
      <c r="F24" s="605"/>
      <c r="G24" s="396"/>
      <c r="H24" s="64"/>
      <c r="I24" s="65"/>
      <c r="J24" s="22"/>
      <c r="K24" s="66"/>
      <c r="L24" s="267"/>
      <c r="M24" s="273"/>
      <c r="N24" s="274"/>
      <c r="O24" s="274"/>
      <c r="P24" s="195"/>
      <c r="Q24" s="195"/>
      <c r="S24" s="278"/>
    </row>
    <row r="25" spans="1:21" x14ac:dyDescent="0.3">
      <c r="A25" s="221"/>
      <c r="B25" s="87" t="s">
        <v>232</v>
      </c>
      <c r="C25" s="80" t="s">
        <v>189</v>
      </c>
      <c r="D25" s="309">
        <f>VLOOKUP($I$5,[12]IDACI!$E:$AI,17,FALSE)</f>
        <v>69.999999999999858</v>
      </c>
      <c r="E25" s="310">
        <f>'[12]pro-forma check'!$E12</f>
        <v>170.04782563786159</v>
      </c>
      <c r="F25" s="700">
        <f>VLOOKUP($I$5,[13]IDACI!$E:$AI,17,FALSE)</f>
        <v>67.999999999999957</v>
      </c>
      <c r="G25" s="396">
        <f>'[13]pro-forma check'!$E12</f>
        <v>210.32779559944768</v>
      </c>
      <c r="H25" s="64">
        <f>VLOOKUP($I$5,'[12]Budget Share'!$D:$Z,N25,FALSE)</f>
        <v>82475.44144056541</v>
      </c>
      <c r="I25" s="65">
        <f>VLOOKUP($I$5,'[13]Budget Share'!$D:$Z,O25,FALSE)</f>
        <v>108766.90438521003</v>
      </c>
      <c r="J25" s="22">
        <f>I25-H25</f>
        <v>26291.46294464462</v>
      </c>
      <c r="K25" s="66">
        <f>IF(O25=TRUE,"n/a",IF(H25=0,"n/a",(J25/H25)*100))</f>
        <v>31.877929339233834</v>
      </c>
      <c r="L25" s="279"/>
      <c r="M25" s="273" t="s">
        <v>232</v>
      </c>
      <c r="N25" s="274">
        <v>7</v>
      </c>
      <c r="O25" s="274">
        <v>7</v>
      </c>
      <c r="P25" s="195">
        <f t="shared" ref="P25:P30" si="4">F25*G25</f>
        <v>14302.290100762433</v>
      </c>
      <c r="Q25" s="195">
        <f t="shared" ref="Q25:Q30" si="5">I25-P25</f>
        <v>94464.614284447598</v>
      </c>
      <c r="S25" s="278"/>
    </row>
    <row r="26" spans="1:21" ht="13" customHeight="1" x14ac:dyDescent="0.3">
      <c r="A26" s="221"/>
      <c r="B26" s="760" t="s">
        <v>231</v>
      </c>
      <c r="C26" s="80" t="s">
        <v>188</v>
      </c>
      <c r="D26" s="309">
        <f>VLOOKUP($I$5,[12]IDACI!$E:$AI,16,FALSE)</f>
        <v>62.000000000000149</v>
      </c>
      <c r="E26" s="310">
        <f>'[12]pro-forma check'!$E13</f>
        <v>205.91597518997216</v>
      </c>
      <c r="F26" s="700">
        <f>VLOOKUP($I$5,[13]IDACI!$E:$AI,16,FALSE)</f>
        <v>67.999999999999957</v>
      </c>
      <c r="G26" s="396">
        <f>'[13]pro-forma check'!$E13</f>
        <v>256.05122942541453</v>
      </c>
      <c r="H26" s="64"/>
      <c r="I26" s="65"/>
      <c r="J26" s="22"/>
      <c r="K26" s="66"/>
      <c r="L26" s="279"/>
      <c r="M26" s="273"/>
      <c r="N26" s="274"/>
      <c r="O26" s="274"/>
      <c r="P26" s="195">
        <f t="shared" si="4"/>
        <v>17411.483600928179</v>
      </c>
      <c r="Q26" s="195">
        <f t="shared" si="5"/>
        <v>-17411.483600928179</v>
      </c>
      <c r="S26" s="278"/>
    </row>
    <row r="27" spans="1:21" ht="13" customHeight="1" x14ac:dyDescent="0.3">
      <c r="A27" s="221"/>
      <c r="B27" s="760"/>
      <c r="C27" s="80" t="s">
        <v>187</v>
      </c>
      <c r="D27" s="309">
        <f>VLOOKUP($I$5,[12]IDACI!$E:$AI,15,FALSE)</f>
        <v>48.000000000000014</v>
      </c>
      <c r="E27" s="310">
        <f>'[12]pro-forma check'!$E14</f>
        <v>324.30980703034078</v>
      </c>
      <c r="F27" s="700">
        <f>VLOOKUP($I$5,[13]IDACI!$E:$AI,15,FALSE)</f>
        <v>54.999999999999979</v>
      </c>
      <c r="G27" s="396">
        <f>'[13]pro-forma check'!$E14</f>
        <v>402.36621766850863</v>
      </c>
      <c r="H27" s="64"/>
      <c r="I27" s="65"/>
      <c r="J27" s="22"/>
      <c r="K27" s="66"/>
      <c r="L27" s="279"/>
      <c r="M27" s="273"/>
      <c r="N27" s="274"/>
      <c r="O27" s="274"/>
      <c r="P27" s="195">
        <f t="shared" si="4"/>
        <v>22130.141971767967</v>
      </c>
      <c r="Q27" s="195">
        <f t="shared" si="5"/>
        <v>-22130.141971767967</v>
      </c>
      <c r="S27" s="278"/>
    </row>
    <row r="28" spans="1:21" ht="13" customHeight="1" x14ac:dyDescent="0.3">
      <c r="A28" s="221"/>
      <c r="B28" s="760"/>
      <c r="C28" s="80" t="s">
        <v>186</v>
      </c>
      <c r="D28" s="309">
        <f>VLOOKUP($I$5,[12]IDACI!$E:$AI,14,FALSE)</f>
        <v>42.000000000000021</v>
      </c>
      <c r="E28" s="310">
        <f>'[12]pro-forma check'!$E15</f>
        <v>352.28503445976003</v>
      </c>
      <c r="F28" s="700">
        <f>VLOOKUP($I$5,[13]IDACI!$E:$AI,14,FALSE)</f>
        <v>44.000000000000028</v>
      </c>
      <c r="G28" s="396">
        <f>'[13]pro-forma check'!$E15</f>
        <v>438.94496472928211</v>
      </c>
      <c r="H28" s="64"/>
      <c r="I28" s="65"/>
      <c r="J28" s="22"/>
      <c r="K28" s="66"/>
      <c r="L28" s="279"/>
      <c r="M28" s="273"/>
      <c r="N28" s="274"/>
      <c r="O28" s="274"/>
      <c r="P28" s="195">
        <f t="shared" si="4"/>
        <v>19313.578448088425</v>
      </c>
      <c r="Q28" s="195">
        <f t="shared" si="5"/>
        <v>-19313.578448088425</v>
      </c>
      <c r="S28" s="278"/>
    </row>
    <row r="29" spans="1:21" ht="13" customHeight="1" x14ac:dyDescent="0.3">
      <c r="A29" s="221"/>
      <c r="B29" s="760"/>
      <c r="C29" s="80" t="s">
        <v>185</v>
      </c>
      <c r="D29" s="309">
        <f>VLOOKUP($I$5,[12]IDACI!$E:$AI,13,FALSE)</f>
        <v>26.000000000000014</v>
      </c>
      <c r="E29" s="310">
        <f>'[12]pro-forma check'!$E16</f>
        <v>375.96380082783378</v>
      </c>
      <c r="F29" s="700">
        <f>VLOOKUP($I$5,[13]IDACI!$E:$AI,13,FALSE)</f>
        <v>33.000000000000021</v>
      </c>
      <c r="G29" s="396">
        <f>'[13]pro-forma check'!$E16</f>
        <v>466.37902502486224</v>
      </c>
      <c r="H29" s="64"/>
      <c r="I29" s="65"/>
      <c r="J29" s="22"/>
      <c r="K29" s="66"/>
      <c r="L29" s="279"/>
      <c r="M29" s="273"/>
      <c r="N29" s="274"/>
      <c r="O29" s="274"/>
      <c r="P29" s="195">
        <f t="shared" si="4"/>
        <v>15390.507825820465</v>
      </c>
      <c r="Q29" s="195">
        <f t="shared" si="5"/>
        <v>-15390.507825820465</v>
      </c>
      <c r="S29" s="278"/>
    </row>
    <row r="30" spans="1:21" ht="13" customHeight="1" x14ac:dyDescent="0.3">
      <c r="A30" s="221"/>
      <c r="B30" s="760"/>
      <c r="C30" s="80" t="s">
        <v>184</v>
      </c>
      <c r="D30" s="309">
        <f>VLOOKUP($I$5,[12]IDACI!$E:$AI,12,FALSE)</f>
        <v>36.000000000000028</v>
      </c>
      <c r="E30" s="310">
        <f>'[12]pro-forma check'!$E17</f>
        <v>490.76117160685669</v>
      </c>
      <c r="F30" s="700">
        <f>VLOOKUP($I$5,[13]IDACI!$E:$AI,12,FALSE)</f>
        <v>33.000000000000021</v>
      </c>
      <c r="G30" s="396">
        <f>'[13]pro-forma check'!$E17</f>
        <v>612.69401326795628</v>
      </c>
      <c r="H30" s="64"/>
      <c r="I30" s="65"/>
      <c r="J30" s="22"/>
      <c r="K30" s="66"/>
      <c r="L30" s="280"/>
      <c r="M30" s="273"/>
      <c r="N30" s="274"/>
      <c r="O30" s="274"/>
      <c r="P30" s="195">
        <f t="shared" si="4"/>
        <v>20218.902437842571</v>
      </c>
      <c r="Q30" s="195">
        <f t="shared" si="5"/>
        <v>-20218.902437842571</v>
      </c>
      <c r="R30" s="318">
        <f>SUM(Q22:Q30)</f>
        <v>0</v>
      </c>
      <c r="S30" s="278"/>
    </row>
    <row r="31" spans="1:21" s="144" customFormat="1" x14ac:dyDescent="0.3">
      <c r="A31" s="281"/>
      <c r="B31" s="80"/>
      <c r="C31" s="80"/>
      <c r="D31" s="696"/>
      <c r="E31" s="189"/>
      <c r="F31" s="606"/>
      <c r="G31" s="607"/>
      <c r="H31" s="64"/>
      <c r="I31" s="65"/>
      <c r="J31" s="22"/>
      <c r="K31" s="66"/>
      <c r="L31" s="282"/>
      <c r="M31" s="273"/>
      <c r="N31" s="274"/>
      <c r="O31" s="274"/>
      <c r="P31" s="195"/>
      <c r="Q31" s="195"/>
      <c r="S31" s="278"/>
    </row>
    <row r="32" spans="1:21" s="82" customFormat="1" x14ac:dyDescent="0.3">
      <c r="A32" s="220"/>
      <c r="B32" s="80" t="s">
        <v>50</v>
      </c>
      <c r="C32" s="80" t="s">
        <v>143</v>
      </c>
      <c r="D32" s="309">
        <f>VLOOKUP($I$5,[12]Attain!$E:$AA,22,FALSE)</f>
        <v>115.41755888650965</v>
      </c>
      <c r="E32" s="310">
        <f>[12]Attain!$AH$4</f>
        <v>1130</v>
      </c>
      <c r="F32" s="700">
        <f>VLOOKUP(I5,[13]Attain!$E:$AA,22,FALSE)</f>
        <v>111.76470588235294</v>
      </c>
      <c r="G32" s="395">
        <f>'[13]pro-forma check'!$E$27</f>
        <v>1155</v>
      </c>
      <c r="H32" s="64">
        <f>VLOOKUP($I$5,'[12]Budget Share'!$D:$Z,N32,FALSE)</f>
        <v>130421.8415417559</v>
      </c>
      <c r="I32" s="65">
        <f>VLOOKUP($I$5,'[13]Budget Share'!$D:$Z,O32,FALSE)</f>
        <v>129088.23529411765</v>
      </c>
      <c r="J32" s="22">
        <f>I32-H32</f>
        <v>-1333.6062476382504</v>
      </c>
      <c r="K32" s="66">
        <f>IF(O32=TRUE,"n/a",IF(H32=0,"n/a",(J32/H32)*100))</f>
        <v>-1.0225329069681035</v>
      </c>
      <c r="L32" s="267"/>
      <c r="M32" s="273" t="s">
        <v>50</v>
      </c>
      <c r="N32" s="274">
        <v>8</v>
      </c>
      <c r="O32" s="274">
        <v>8</v>
      </c>
      <c r="P32" s="195">
        <f>F32*G32</f>
        <v>129088.23529411765</v>
      </c>
      <c r="Q32" s="195">
        <f>I32-P32</f>
        <v>0</v>
      </c>
      <c r="S32" s="278"/>
    </row>
    <row r="33" spans="1:19" s="82" customFormat="1" x14ac:dyDescent="0.3">
      <c r="A33" s="220"/>
      <c r="B33" s="80"/>
      <c r="C33" s="80"/>
      <c r="D33" s="697"/>
      <c r="E33" s="697"/>
      <c r="F33" s="609"/>
      <c r="G33" s="608"/>
      <c r="H33" s="64"/>
      <c r="I33" s="65"/>
      <c r="J33" s="22"/>
      <c r="K33" s="66"/>
      <c r="L33" s="267"/>
      <c r="M33" s="273"/>
      <c r="N33" s="274"/>
      <c r="O33" s="274"/>
      <c r="P33" s="195"/>
      <c r="Q33" s="195"/>
      <c r="S33" s="278"/>
    </row>
    <row r="34" spans="1:19" s="82" customFormat="1" x14ac:dyDescent="0.3">
      <c r="A34" s="220"/>
      <c r="B34" s="80" t="s">
        <v>51</v>
      </c>
      <c r="C34" s="80" t="s">
        <v>52</v>
      </c>
      <c r="D34" s="698">
        <f>VLOOKUP($I$5,[12]EAL!$D:$J,6,FALSE)</f>
        <v>31.798715203426106</v>
      </c>
      <c r="E34" s="697">
        <f>'[12]pro-forma check'!$E$29</f>
        <v>565</v>
      </c>
      <c r="F34" s="701">
        <f>VLOOKUP($I$5,[13]EAL!$D:$J,6,FALSE)</f>
        <v>51.383647798742132</v>
      </c>
      <c r="G34" s="85">
        <f>'[13]pro-forma check'!$E$29</f>
        <v>580</v>
      </c>
      <c r="H34" s="64">
        <f>VLOOKUP($I$5,'[12]Budget Share'!$D:$Z,N34,FALSE)</f>
        <v>17966.274089935749</v>
      </c>
      <c r="I34" s="65">
        <f>VLOOKUP($I$5,'[13]Budget Share'!$D:$Z,O34,FALSE)</f>
        <v>29802.515723270437</v>
      </c>
      <c r="J34" s="22">
        <f>I34-H34</f>
        <v>11836.241633334688</v>
      </c>
      <c r="K34" s="66">
        <f>IF(O34=TRUE,"n/a",IF(H34=0,"n/a",(J34/H34)*100))</f>
        <v>65.880335422273504</v>
      </c>
      <c r="L34" s="267"/>
      <c r="M34" s="273" t="s">
        <v>51</v>
      </c>
      <c r="N34" s="274">
        <v>9</v>
      </c>
      <c r="O34" s="274">
        <v>9</v>
      </c>
      <c r="P34" s="195">
        <f>F34*G34</f>
        <v>29802.515723270437</v>
      </c>
      <c r="Q34" s="195">
        <f>I34-P34</f>
        <v>0</v>
      </c>
      <c r="S34" s="278"/>
    </row>
    <row r="35" spans="1:19" s="82" customFormat="1" x14ac:dyDescent="0.3">
      <c r="A35" s="220"/>
      <c r="B35" s="80"/>
      <c r="C35" s="80"/>
      <c r="D35" s="308"/>
      <c r="E35" s="308"/>
      <c r="F35" s="610"/>
      <c r="G35" s="607"/>
      <c r="H35" s="64"/>
      <c r="I35" s="65"/>
      <c r="J35" s="86"/>
      <c r="L35" s="267"/>
      <c r="M35" s="273"/>
      <c r="N35" s="274"/>
      <c r="O35" s="274"/>
      <c r="P35" s="195"/>
      <c r="Q35" s="195"/>
      <c r="S35" s="278"/>
    </row>
    <row r="36" spans="1:19" x14ac:dyDescent="0.3">
      <c r="A36" s="221"/>
      <c r="B36" s="87" t="s">
        <v>117</v>
      </c>
      <c r="C36" s="87" t="s">
        <v>355</v>
      </c>
      <c r="D36" s="699">
        <f>VLOOKUP($I$5,[12]Mobility!$D:$N,7,FALSE)</f>
        <v>0</v>
      </c>
      <c r="E36" s="697">
        <f>'[12]pro-forma check'!$E$24</f>
        <v>925</v>
      </c>
      <c r="F36" s="702">
        <f>VLOOKUP($I$5,[13]Mobility!$D:$N,7,FALSE)</f>
        <v>4.8000000000000274</v>
      </c>
      <c r="G36" s="85">
        <f>'[13]pro-forma check'!$E$24</f>
        <v>945</v>
      </c>
      <c r="H36" s="64">
        <f>VLOOKUP($I$5,'[12]Budget Share'!$D:$Z,N36,FALSE)</f>
        <v>0</v>
      </c>
      <c r="I36" s="65">
        <f>VLOOKUP($I$5,'[13]Budget Share'!$D:$Z,O36,FALSE)</f>
        <v>4536.0000000000255</v>
      </c>
      <c r="J36" s="22">
        <f>I36-H36</f>
        <v>4536.0000000000255</v>
      </c>
      <c r="K36" s="66" t="str">
        <f>IF(O36=TRUE,"n/a",IF(H36=0,"n/a",(J36/H36)*100))</f>
        <v>n/a</v>
      </c>
      <c r="L36" s="267"/>
      <c r="M36" s="273" t="s">
        <v>49</v>
      </c>
      <c r="N36" s="274">
        <v>12</v>
      </c>
      <c r="O36" s="274">
        <v>12</v>
      </c>
      <c r="P36" s="195">
        <f>F36*G36</f>
        <v>4536.0000000000255</v>
      </c>
      <c r="Q36" s="195">
        <f>I36-P36</f>
        <v>0</v>
      </c>
      <c r="S36" s="278"/>
    </row>
    <row r="37" spans="1:19" x14ac:dyDescent="0.3">
      <c r="A37" s="221"/>
      <c r="B37" s="80"/>
      <c r="C37" s="80"/>
      <c r="D37" s="80"/>
      <c r="E37" s="80"/>
      <c r="F37" s="80"/>
      <c r="G37" s="81"/>
      <c r="H37" s="64"/>
      <c r="I37" s="65"/>
      <c r="J37" s="22"/>
      <c r="K37" s="66"/>
      <c r="L37" s="193"/>
      <c r="M37" s="273"/>
      <c r="N37" s="274"/>
      <c r="O37" s="274"/>
      <c r="P37" s="195"/>
      <c r="Q37" s="195"/>
      <c r="S37" s="278"/>
    </row>
    <row r="38" spans="1:19" x14ac:dyDescent="0.3">
      <c r="A38" s="221"/>
      <c r="B38" s="80" t="s">
        <v>53</v>
      </c>
      <c r="C38" s="80"/>
      <c r="D38" s="80"/>
      <c r="E38" s="80"/>
      <c r="F38" s="80"/>
      <c r="G38" s="81"/>
      <c r="H38" s="64">
        <f>VLOOKUP($I$5,'[12]Budget Share'!$D:$Z,N38,FALSE)</f>
        <v>121300</v>
      </c>
      <c r="I38" s="65">
        <f>VLOOKUP($I$5,'[13]Budget Share'!$D:$Z,O38,FALSE)</f>
        <v>128000</v>
      </c>
      <c r="J38" s="22">
        <f t="shared" ref="J38:J44" si="6">I38-H38</f>
        <v>6700</v>
      </c>
      <c r="K38" s="66">
        <f>IF(O38=TRUE,"n/a",IF(H38=0,"n/a",(J38/H38)*100))</f>
        <v>5.5234954657873043</v>
      </c>
      <c r="L38" s="193"/>
      <c r="M38" s="273" t="s">
        <v>53</v>
      </c>
      <c r="N38" s="274">
        <v>11</v>
      </c>
      <c r="O38" s="274">
        <v>11</v>
      </c>
      <c r="P38" s="195">
        <f>I38</f>
        <v>128000</v>
      </c>
      <c r="Q38" s="195">
        <f>I38-P38</f>
        <v>0</v>
      </c>
      <c r="S38" s="278"/>
    </row>
    <row r="39" spans="1:19" x14ac:dyDescent="0.3">
      <c r="A39" s="221"/>
      <c r="B39" s="80"/>
      <c r="C39" s="80"/>
      <c r="D39" s="80"/>
      <c r="E39" s="80"/>
      <c r="F39" s="80"/>
      <c r="G39" s="81"/>
      <c r="H39" s="64"/>
      <c r="I39" s="65"/>
      <c r="J39" s="22"/>
      <c r="K39" s="66"/>
      <c r="L39" s="193"/>
      <c r="M39" s="273"/>
      <c r="N39" s="274"/>
      <c r="O39" s="274"/>
      <c r="P39" s="195"/>
      <c r="Q39" s="195"/>
      <c r="S39" s="278"/>
    </row>
    <row r="40" spans="1:19" x14ac:dyDescent="0.3">
      <c r="A40" s="221"/>
      <c r="B40" s="87" t="s">
        <v>82</v>
      </c>
      <c r="C40" s="80"/>
      <c r="D40" s="80"/>
      <c r="E40" s="80"/>
      <c r="F40" s="80"/>
      <c r="G40" s="81"/>
      <c r="H40" s="64">
        <f>VLOOKUP($I$5,'[12]Budget Share'!$D:$Z,N40,FALSE)</f>
        <v>0</v>
      </c>
      <c r="I40" s="65">
        <f>VLOOKUP($I$5,'[13]Budget Share'!$D:$Z,O40,FALSE)</f>
        <v>0</v>
      </c>
      <c r="J40" s="22">
        <f t="shared" si="6"/>
        <v>0</v>
      </c>
      <c r="K40" s="66" t="str">
        <f>IF(O40=TRUE,"n/a",IF(H40=0,"n/a",(J40/H40)*100))</f>
        <v>n/a</v>
      </c>
      <c r="L40" s="193"/>
      <c r="M40" s="273" t="s">
        <v>54</v>
      </c>
      <c r="N40" s="274">
        <v>20</v>
      </c>
      <c r="O40" s="274">
        <v>20</v>
      </c>
      <c r="P40" s="195">
        <f>F40*G40</f>
        <v>0</v>
      </c>
      <c r="Q40" s="195">
        <f>I40-P40</f>
        <v>0</v>
      </c>
      <c r="S40" s="278"/>
    </row>
    <row r="41" spans="1:19" s="368" customFormat="1" x14ac:dyDescent="0.3">
      <c r="A41" s="738"/>
      <c r="B41" s="308" t="s">
        <v>467</v>
      </c>
      <c r="C41" s="308"/>
      <c r="D41" s="308"/>
      <c r="E41" s="308"/>
      <c r="F41" s="308"/>
      <c r="G41" s="739"/>
      <c r="H41" s="370">
        <f>VLOOKUP($I$5,'[14]Final Summary 22-23'!$D:$L,9,FALSE)</f>
        <v>31488</v>
      </c>
      <c r="I41" s="371">
        <f>VLOOKUP($I$5,'[13]Budget Share'!$D:$Z,O41,FALSE)</f>
        <v>31488</v>
      </c>
      <c r="J41" s="372">
        <f>I41-H41</f>
        <v>0</v>
      </c>
      <c r="K41" s="373">
        <f>IF(O41=TRUE,"n/a",IF(H41=0,"n/a",(J41/H41)*100))</f>
        <v>0</v>
      </c>
      <c r="L41" s="195"/>
      <c r="M41" s="740" t="s">
        <v>55</v>
      </c>
      <c r="N41" s="274">
        <v>22</v>
      </c>
      <c r="O41" s="274">
        <v>22</v>
      </c>
      <c r="P41" s="195">
        <f>I41</f>
        <v>31488</v>
      </c>
      <c r="Q41" s="195">
        <f>I41-P41</f>
        <v>0</v>
      </c>
      <c r="S41" s="741"/>
    </row>
    <row r="42" spans="1:19" x14ac:dyDescent="0.3">
      <c r="A42" s="221"/>
      <c r="B42" s="87" t="s">
        <v>380</v>
      </c>
      <c r="C42" s="80"/>
      <c r="D42" s="80"/>
      <c r="E42" s="80"/>
      <c r="F42" s="80"/>
      <c r="G42" s="81"/>
      <c r="H42" s="64">
        <f>VLOOKUP($I$5,'[12]Budget Share'!$D:$Z,N42,FALSE)</f>
        <v>0</v>
      </c>
      <c r="I42" s="65">
        <f>VLOOKUP($I$5,'[13]Budget Share'!$D:$Z,O42,FALSE)</f>
        <v>0</v>
      </c>
      <c r="J42" s="22">
        <f>I42-H42</f>
        <v>0</v>
      </c>
      <c r="K42" s="66" t="str">
        <f>IF(O42=TRUE,"n/a",IF(H42=0,"n/a",(J42/H42)*100))</f>
        <v>n/a</v>
      </c>
      <c r="L42" s="193"/>
      <c r="M42" s="273" t="s">
        <v>381</v>
      </c>
      <c r="N42" s="274">
        <v>21</v>
      </c>
      <c r="O42" s="274">
        <v>21</v>
      </c>
      <c r="P42" s="195">
        <f>I42</f>
        <v>0</v>
      </c>
      <c r="Q42" s="195">
        <f>I42-P42</f>
        <v>0</v>
      </c>
      <c r="S42" s="278"/>
    </row>
    <row r="43" spans="1:19" x14ac:dyDescent="0.3">
      <c r="A43" s="221"/>
      <c r="B43" s="80"/>
      <c r="C43" s="80"/>
      <c r="D43" s="80"/>
      <c r="E43" s="80"/>
      <c r="F43" s="80"/>
      <c r="G43" s="81"/>
      <c r="H43" s="64"/>
      <c r="I43" s="65"/>
      <c r="J43" s="22"/>
      <c r="K43" s="66"/>
      <c r="L43" s="193"/>
      <c r="M43" s="273"/>
      <c r="N43" s="274"/>
      <c r="O43" s="274"/>
      <c r="P43" s="195"/>
      <c r="Q43" s="195"/>
      <c r="S43" s="278"/>
    </row>
    <row r="44" spans="1:19" x14ac:dyDescent="0.3">
      <c r="A44" s="221"/>
      <c r="B44" s="87" t="s">
        <v>83</v>
      </c>
      <c r="C44" s="80"/>
      <c r="D44" s="80"/>
      <c r="E44" s="80"/>
      <c r="F44" s="80"/>
      <c r="G44" s="81"/>
      <c r="H44" s="64">
        <f>VLOOKUP($I$5,'[12]Budget Share'!$D:$Z,N44,FALSE)</f>
        <v>0</v>
      </c>
      <c r="I44" s="65">
        <f>VLOOKUP($I$5,'[13]Budget Share'!$D:$Z,O44,FALSE)</f>
        <v>0</v>
      </c>
      <c r="J44" s="22">
        <f t="shared" si="6"/>
        <v>0</v>
      </c>
      <c r="K44" s="66" t="str">
        <f>IF(O44=TRUE,"n/a",IF(H44=0,"n/a",(J44/H44)*100))</f>
        <v>n/a</v>
      </c>
      <c r="L44" s="193"/>
      <c r="M44" s="273" t="s">
        <v>56</v>
      </c>
      <c r="N44" s="274">
        <v>19</v>
      </c>
      <c r="O44" s="274">
        <v>19</v>
      </c>
      <c r="P44" s="195">
        <f>F44*G44</f>
        <v>0</v>
      </c>
      <c r="Q44" s="195">
        <f>I44-P44</f>
        <v>0</v>
      </c>
      <c r="S44" s="278"/>
    </row>
    <row r="45" spans="1:19" x14ac:dyDescent="0.3">
      <c r="A45" s="221"/>
      <c r="B45" s="87"/>
      <c r="C45" s="80"/>
      <c r="D45" s="80"/>
      <c r="E45" s="80"/>
      <c r="F45" s="80"/>
      <c r="G45" s="81"/>
      <c r="H45" s="64"/>
      <c r="I45" s="65"/>
      <c r="J45" s="22"/>
      <c r="K45" s="66"/>
      <c r="L45" s="193"/>
      <c r="M45" s="273"/>
      <c r="N45" s="274"/>
      <c r="O45" s="274"/>
      <c r="P45" s="195"/>
      <c r="Q45" s="195"/>
      <c r="S45" s="278"/>
    </row>
    <row r="46" spans="1:19" x14ac:dyDescent="0.3">
      <c r="A46" s="221"/>
      <c r="B46" s="80" t="s">
        <v>57</v>
      </c>
      <c r="C46" s="80"/>
      <c r="D46" s="80"/>
      <c r="E46" s="80"/>
      <c r="F46" s="181" t="s">
        <v>225</v>
      </c>
      <c r="G46" s="192">
        <v>1</v>
      </c>
      <c r="H46" s="64">
        <f>VLOOKUP($I$5,'[12]Budget Share'!$D:$Z,N46,FALSE)</f>
        <v>0</v>
      </c>
      <c r="I46" s="65">
        <f>VLOOKUP($I$5,'[13]Budget Share'!$D:$Z,O46,FALSE)</f>
        <v>0</v>
      </c>
      <c r="J46" s="22">
        <f>I46-H46</f>
        <v>0</v>
      </c>
      <c r="K46" s="66" t="str">
        <f>IF(O46=TRUE,"n/a",IF(H46=0,"n/a",(J46/H46)*100))</f>
        <v>n/a</v>
      </c>
      <c r="L46" s="193"/>
      <c r="M46" s="273" t="s">
        <v>57</v>
      </c>
      <c r="N46" s="274">
        <v>16</v>
      </c>
      <c r="O46" s="274">
        <v>16</v>
      </c>
      <c r="P46" s="195"/>
      <c r="Q46" s="195"/>
      <c r="S46" s="278"/>
    </row>
    <row r="47" spans="1:19" x14ac:dyDescent="0.3">
      <c r="A47" s="220"/>
      <c r="B47" s="87" t="s">
        <v>118</v>
      </c>
      <c r="C47" s="80"/>
      <c r="D47" s="80"/>
      <c r="E47" s="80"/>
      <c r="F47" s="181" t="s">
        <v>233</v>
      </c>
      <c r="G47" s="418">
        <f>[13]MFG!$Q$1</f>
        <v>5.0000000000000001E-3</v>
      </c>
      <c r="H47" s="64">
        <f>VLOOKUP($I$5,'[12]Budget Share'!$D:$Z,N47,FALSE)</f>
        <v>1560.8247415548615</v>
      </c>
      <c r="I47" s="65">
        <f>VLOOKUP($I$5,'[13]Budget Share'!$D:$Z,O47,FALSE)</f>
        <v>4877.7313595813293</v>
      </c>
      <c r="J47" s="22">
        <f>I47-H47</f>
        <v>3316.9066180264681</v>
      </c>
      <c r="K47" s="66">
        <f>IF(O47=TRUE,"n/a",IF(H47=0,"n/a",(J47/H47)*100))</f>
        <v>212.5098692837374</v>
      </c>
      <c r="L47" s="193"/>
      <c r="M47" s="273" t="s">
        <v>58</v>
      </c>
      <c r="N47" s="274">
        <v>18</v>
      </c>
      <c r="O47" s="274">
        <v>18</v>
      </c>
      <c r="P47" s="195"/>
      <c r="Q47" s="195"/>
      <c r="S47" s="278"/>
    </row>
    <row r="48" spans="1:19" ht="13.5" thickBot="1" x14ac:dyDescent="0.35">
      <c r="A48" s="220"/>
      <c r="B48" s="80"/>
      <c r="C48" s="80"/>
      <c r="D48" s="80"/>
      <c r="E48" s="80"/>
      <c r="F48" s="80"/>
      <c r="G48" s="81"/>
      <c r="H48" s="64"/>
      <c r="I48" s="65"/>
      <c r="J48" s="22"/>
      <c r="K48" s="66"/>
      <c r="L48" s="193"/>
      <c r="M48" s="273"/>
      <c r="N48" s="273"/>
      <c r="O48" s="273"/>
      <c r="P48" s="273"/>
      <c r="S48" s="278"/>
    </row>
    <row r="49" spans="1:19" s="144" customFormat="1" ht="14.5" thickBot="1" x14ac:dyDescent="0.35">
      <c r="A49" s="220">
        <v>100101</v>
      </c>
      <c r="B49" s="3" t="s">
        <v>62</v>
      </c>
      <c r="C49" s="3"/>
      <c r="D49" s="3"/>
      <c r="E49" s="3"/>
      <c r="F49" s="3"/>
      <c r="G49" s="5"/>
      <c r="H49" s="311">
        <f>SUM(H16:H47)-H19-H20</f>
        <v>2387675.0936125033</v>
      </c>
      <c r="I49" s="311">
        <f>SUM(I16:I47)-I19-I20</f>
        <v>2553919.8569562212</v>
      </c>
      <c r="J49" s="311">
        <f>SUM(J16:J47)-J19-J20</f>
        <v>166244.76334371715</v>
      </c>
      <c r="K49" s="312">
        <f>IF(O49=TRUE,"n/a",IF(H49=0,"n/a",(J49/H49)*100))</f>
        <v>6.9626208267805927</v>
      </c>
      <c r="L49" s="193"/>
      <c r="M49" s="99"/>
      <c r="S49" s="278"/>
    </row>
    <row r="50" spans="1:19" s="177" customFormat="1" ht="15.5" x14ac:dyDescent="0.3">
      <c r="A50" s="283"/>
      <c r="B50" s="308" t="s">
        <v>11</v>
      </c>
      <c r="C50" s="175"/>
      <c r="D50" s="175"/>
      <c r="E50" s="175"/>
      <c r="F50" s="175"/>
      <c r="G50" s="176"/>
      <c r="H50" s="368">
        <f>H49/H10</f>
        <v>4341.227442931824</v>
      </c>
      <c r="I50" s="368">
        <f>I49/I10</f>
        <v>4480.5611525547738</v>
      </c>
      <c r="J50" s="368">
        <f>I50-H50</f>
        <v>139.33370962294975</v>
      </c>
      <c r="K50" s="483">
        <f>J50/H50*100</f>
        <v>3.2095464118058623</v>
      </c>
      <c r="L50" s="195"/>
      <c r="M50" s="284"/>
    </row>
    <row r="51" spans="1:19" s="177" customFormat="1" ht="8.5" customHeight="1" x14ac:dyDescent="0.3">
      <c r="A51" s="283"/>
      <c r="B51" s="308"/>
      <c r="C51" s="175"/>
      <c r="D51" s="175"/>
      <c r="E51" s="175"/>
      <c r="F51" s="175"/>
      <c r="G51" s="206"/>
      <c r="H51" s="368"/>
      <c r="I51" s="368"/>
      <c r="J51" s="368"/>
      <c r="K51" s="483"/>
      <c r="L51" s="195"/>
      <c r="M51" s="284"/>
    </row>
    <row r="52" spans="1:19" ht="14" x14ac:dyDescent="0.25">
      <c r="A52" s="221"/>
      <c r="B52" s="295" t="s">
        <v>431</v>
      </c>
      <c r="C52" s="4"/>
      <c r="D52" s="4"/>
      <c r="E52" s="4"/>
      <c r="F52" s="4"/>
      <c r="G52" s="648"/>
      <c r="H52" s="98">
        <f>VLOOKUP(I$5,'[13]Schls Forum'!$C:$Q,9,FALSE)</f>
        <v>70120</v>
      </c>
      <c r="I52" s="723">
        <v>0</v>
      </c>
      <c r="J52" s="22">
        <f>I52-H52</f>
        <v>-70120</v>
      </c>
      <c r="K52" s="66">
        <f>IF(O52=TRUE,"n/a",IF(H52=0,"n/a",(J52/H52)*100))</f>
        <v>-100</v>
      </c>
      <c r="L52" s="193"/>
      <c r="M52" s="99"/>
      <c r="N52" s="288"/>
    </row>
    <row r="53" spans="1:19" ht="5.5" customHeight="1" thickBot="1" x14ac:dyDescent="0.35">
      <c r="A53" s="220"/>
      <c r="B53" s="80"/>
      <c r="C53" s="80"/>
      <c r="D53" s="80"/>
      <c r="E53" s="80"/>
      <c r="F53" s="80"/>
      <c r="G53" s="81"/>
      <c r="H53" s="64"/>
      <c r="I53" s="65"/>
      <c r="J53" s="22"/>
      <c r="K53" s="66"/>
      <c r="L53" s="193"/>
      <c r="M53" s="82"/>
      <c r="N53" s="273"/>
      <c r="O53" s="273"/>
      <c r="P53" s="273"/>
      <c r="S53" s="278"/>
    </row>
    <row r="54" spans="1:19" s="326" customFormat="1" ht="16" thickBot="1" x14ac:dyDescent="0.4">
      <c r="A54" s="364"/>
      <c r="B54" s="378" t="s">
        <v>362</v>
      </c>
      <c r="C54" s="362"/>
      <c r="D54" s="362"/>
      <c r="E54" s="362"/>
      <c r="F54" s="362"/>
      <c r="G54" s="363" t="s">
        <v>77</v>
      </c>
      <c r="H54" s="360">
        <f>SUM(H49:H53)-H50</f>
        <v>2457795.0936125033</v>
      </c>
      <c r="I54" s="360">
        <f>I49</f>
        <v>2553919.8569562212</v>
      </c>
      <c r="J54" s="360">
        <f>SUM(J49:J53)-J50</f>
        <v>96124.763343717132</v>
      </c>
      <c r="K54" s="361">
        <f>IF(O54=TRUE,"n/a",IF(H54=0,"n/a",(J54/H54)*100))</f>
        <v>3.9110161621500978</v>
      </c>
      <c r="L54" s="325"/>
      <c r="S54" s="327"/>
    </row>
    <row r="55" spans="1:19" ht="12.5" x14ac:dyDescent="0.25">
      <c r="A55" s="313"/>
      <c r="B55" s="314"/>
      <c r="C55" s="127"/>
      <c r="D55" s="127"/>
      <c r="E55" s="127"/>
      <c r="F55" s="127"/>
      <c r="G55" s="271"/>
      <c r="H55" s="566">
        <f>VLOOKUP($I$5,'[12]Budget Share'!$D:$Z,N55,FALSE)-H54+H52+VLOOKUP(I5,'[14]Final Summary 22-23'!$D:$AB,25,FALSE)</f>
        <v>0</v>
      </c>
      <c r="I55" s="566">
        <f>VLOOKUP($I$5,'[13]Budget Share'!$D:$Z,O55,FALSE)-I54</f>
        <v>0</v>
      </c>
      <c r="J55" s="398">
        <f>I55-H55</f>
        <v>0</v>
      </c>
      <c r="K55" s="82"/>
      <c r="L55" s="285"/>
      <c r="M55" s="99"/>
      <c r="N55" s="274">
        <v>23</v>
      </c>
      <c r="O55" s="274">
        <v>23</v>
      </c>
      <c r="P55" s="273"/>
    </row>
    <row r="56" spans="1:19" s="98" customFormat="1" x14ac:dyDescent="0.3">
      <c r="A56" s="220"/>
      <c r="B56" s="87"/>
      <c r="C56" s="87"/>
      <c r="D56" s="87"/>
      <c r="E56" s="87"/>
      <c r="F56" s="703" t="s">
        <v>148</v>
      </c>
      <c r="G56" s="704" t="s">
        <v>376</v>
      </c>
      <c r="H56" s="477" t="s">
        <v>149</v>
      </c>
      <c r="I56" s="478" t="s">
        <v>375</v>
      </c>
      <c r="J56" s="22"/>
      <c r="K56" s="66"/>
      <c r="L56" s="193"/>
      <c r="M56" s="82"/>
      <c r="N56" s="286"/>
      <c r="O56" s="287"/>
      <c r="P56" s="287"/>
    </row>
    <row r="57" spans="1:19" x14ac:dyDescent="0.3">
      <c r="A57" s="220"/>
      <c r="B57" s="80"/>
      <c r="C57" s="80"/>
      <c r="D57" s="80"/>
      <c r="E57" s="80"/>
      <c r="F57" s="97" t="s">
        <v>459</v>
      </c>
      <c r="G57" s="97" t="s">
        <v>460</v>
      </c>
      <c r="H57" s="199">
        <f>IFERROR(VLOOKUP((VALUE(I5)),'IR 22-23'!B:F,5,FALSE),0)</f>
        <v>0</v>
      </c>
      <c r="I57" s="142">
        <f>G59</f>
        <v>0</v>
      </c>
      <c r="J57" s="22"/>
      <c r="K57" s="66"/>
      <c r="L57" s="193"/>
      <c r="M57" s="82"/>
      <c r="N57" s="286"/>
      <c r="O57" s="273"/>
      <c r="P57" s="273"/>
    </row>
    <row r="58" spans="1:19" s="195" customFormat="1" ht="10" x14ac:dyDescent="0.2">
      <c r="A58" s="479">
        <v>100101</v>
      </c>
      <c r="B58" s="369" t="s">
        <v>221</v>
      </c>
      <c r="C58" s="194"/>
      <c r="D58" s="194"/>
      <c r="E58" s="194"/>
      <c r="F58" s="166"/>
      <c r="G58" s="166"/>
      <c r="H58" s="480">
        <f>H9*G61</f>
        <v>0</v>
      </c>
      <c r="I58" s="480">
        <f>I9*I50</f>
        <v>0</v>
      </c>
      <c r="J58" s="481">
        <f>I58-H58</f>
        <v>0</v>
      </c>
      <c r="K58" s="482" t="str">
        <f>IF(O58=TRUE,"n/a",IF(H58=0,"n/a",(J58/H58)*100))</f>
        <v>n/a</v>
      </c>
      <c r="M58" s="196"/>
      <c r="N58" s="197"/>
      <c r="O58" s="198"/>
      <c r="P58" s="198"/>
    </row>
    <row r="59" spans="1:19" s="82" customFormat="1" ht="12.5" x14ac:dyDescent="0.25">
      <c r="A59" s="220">
        <v>100143</v>
      </c>
      <c r="B59" s="207" t="s">
        <v>190</v>
      </c>
      <c r="C59" s="80"/>
      <c r="D59" s="80"/>
      <c r="E59" s="80"/>
      <c r="F59" s="142">
        <f>IFERROR(VLOOKUP($I$5,'IR Budget 2023-24'!$C:$Q,6,FALSE),0)</f>
        <v>0</v>
      </c>
      <c r="G59" s="142">
        <f>IFERROR(VLOOKUP($I$5,'IR Budget 2023-24'!$C:$Q,6,FALSE),0)</f>
        <v>0</v>
      </c>
      <c r="H59" s="336">
        <f>H57*6000</f>
        <v>0</v>
      </c>
      <c r="I59" s="170">
        <f>I57*6000</f>
        <v>0</v>
      </c>
      <c r="J59" s="22">
        <f>I59-H59</f>
        <v>0</v>
      </c>
      <c r="K59" s="66" t="str">
        <f>IF(O59=TRUE,"n/a",IF(H59=0,"n/a",(J59/H59)*100))</f>
        <v>n/a</v>
      </c>
      <c r="L59" s="285"/>
      <c r="M59" s="99"/>
      <c r="N59" s="288"/>
    </row>
    <row r="60" spans="1:19" ht="12.5" x14ac:dyDescent="0.25">
      <c r="A60" s="220">
        <v>100261</v>
      </c>
      <c r="B60" s="80" t="s">
        <v>147</v>
      </c>
      <c r="C60" s="100"/>
      <c r="D60" s="100"/>
      <c r="E60" s="100"/>
      <c r="F60" s="100"/>
      <c r="G60" s="335"/>
      <c r="H60" s="336">
        <f>IFERROR(VLOOKUP((VALUE(I5)),'IR 22-23'!B:I,8,FALSE)-H59-H58,0)</f>
        <v>0</v>
      </c>
      <c r="I60" s="170">
        <f>IFERROR(VLOOKUP(I5,'IR Budget 2023-24'!C:N,12,FALSE)-I59-I58,0)</f>
        <v>0</v>
      </c>
      <c r="J60" s="22">
        <f>I60-H60</f>
        <v>0</v>
      </c>
      <c r="K60" s="66" t="str">
        <f>IF(O60=TRUE,"n/a",IF(H60=0,"n/a",(J60/H60)*100))</f>
        <v>n/a</v>
      </c>
      <c r="L60" s="193"/>
      <c r="M60" s="99"/>
      <c r="N60" s="288"/>
    </row>
    <row r="61" spans="1:19" thickBot="1" x14ac:dyDescent="0.3">
      <c r="A61" s="220"/>
      <c r="B61" s="289"/>
      <c r="C61" s="87"/>
      <c r="D61" s="87"/>
      <c r="E61" s="87"/>
      <c r="F61" s="87"/>
      <c r="G61" s="382">
        <f>(H54)/H10</f>
        <v>4468.7183520227336</v>
      </c>
      <c r="H61" s="86"/>
      <c r="I61" s="170">
        <f>IFERROR(VLOOKUP((VALUE($I$4)),'IR Budget 2023-24'!C:N,12,FALSE)-I60-I59-I58,0)</f>
        <v>0</v>
      </c>
      <c r="J61" s="86"/>
      <c r="K61" s="82"/>
      <c r="L61" s="193"/>
      <c r="M61" s="99"/>
      <c r="N61" s="288"/>
    </row>
    <row r="62" spans="1:19" ht="14.5" thickBot="1" x14ac:dyDescent="0.35">
      <c r="A62" s="221"/>
      <c r="B62" s="3" t="s">
        <v>80</v>
      </c>
      <c r="C62" s="3"/>
      <c r="D62" s="3"/>
      <c r="E62" s="3"/>
      <c r="F62" s="3"/>
      <c r="G62" s="3" t="s">
        <v>78</v>
      </c>
      <c r="H62" s="337">
        <f>SUM(H59:H61)</f>
        <v>0</v>
      </c>
      <c r="I62" s="311">
        <f>SUM(I59:I61)</f>
        <v>0</v>
      </c>
      <c r="J62" s="311">
        <f>I62-H62</f>
        <v>0</v>
      </c>
      <c r="K62" s="312" t="str">
        <f>IF(O62=TRUE,"n/a",IF(H62=0,"n/a",(J62/H62)*100))</f>
        <v>n/a</v>
      </c>
      <c r="L62" s="193"/>
      <c r="M62" s="99"/>
      <c r="N62" s="288"/>
    </row>
    <row r="63" spans="1:19" ht="14" x14ac:dyDescent="0.3">
      <c r="A63" s="221"/>
      <c r="B63" s="210"/>
      <c r="C63" s="4"/>
      <c r="D63" s="4"/>
      <c r="E63" s="4"/>
      <c r="F63" s="4"/>
      <c r="G63" s="4"/>
      <c r="H63" s="104"/>
      <c r="I63" s="105"/>
      <c r="J63" s="105"/>
      <c r="K63" s="106"/>
      <c r="L63" s="193"/>
      <c r="M63" s="99"/>
      <c r="N63" s="288"/>
    </row>
    <row r="64" spans="1:19" ht="14" x14ac:dyDescent="0.25">
      <c r="A64" s="221" t="s">
        <v>468</v>
      </c>
      <c r="B64" s="295" t="s">
        <v>462</v>
      </c>
      <c r="C64" s="4"/>
      <c r="D64" s="4"/>
      <c r="E64" s="4"/>
      <c r="F64" s="4"/>
      <c r="G64" s="648"/>
      <c r="H64" s="98">
        <v>0</v>
      </c>
      <c r="I64" s="98">
        <f>VLOOKUP(J$5,'[13]Schls Forum'!$C:$Q,14,FALSE)</f>
        <v>87524</v>
      </c>
      <c r="J64" s="22">
        <f t="shared" ref="J64" si="7">I64-H64</f>
        <v>87524</v>
      </c>
      <c r="K64" s="66" t="str">
        <f t="shared" ref="K64" si="8">IF(O64=TRUE,"n/a",IF(H64=0,"n/a",(J64/H64)*100))</f>
        <v>n/a</v>
      </c>
      <c r="L64" s="193"/>
      <c r="M64" s="99"/>
      <c r="N64" s="288"/>
    </row>
    <row r="65" spans="1:14" s="98" customFormat="1" ht="13.5" thickBot="1" x14ac:dyDescent="0.35">
      <c r="A65" s="220">
        <v>100333</v>
      </c>
      <c r="B65" s="87" t="s">
        <v>382</v>
      </c>
      <c r="C65" s="200"/>
      <c r="D65" s="200"/>
      <c r="E65" s="200"/>
      <c r="F65" s="200"/>
      <c r="G65" s="201"/>
      <c r="H65" s="742">
        <f>VLOOKUP(I$5,'[13]Schls Forum'!$C:$AA,24,FALSE)</f>
        <v>221545</v>
      </c>
      <c r="I65" s="743">
        <f>VLOOKUP(J$5,'[13]Schls Forum'!$C:$AA,25,FALSE)</f>
        <v>232735</v>
      </c>
      <c r="J65" s="744">
        <f>I65-H65</f>
        <v>11190</v>
      </c>
      <c r="K65" s="66">
        <f>IF(O65=TRUE,"n/a",IF(H65=0,"n/a",(J65/H65)*100))</f>
        <v>5.0508925951838233</v>
      </c>
      <c r="L65" s="193"/>
      <c r="M65" s="99"/>
      <c r="N65" s="288"/>
    </row>
    <row r="66" spans="1:14" ht="14.5" thickBot="1" x14ac:dyDescent="0.35">
      <c r="A66" s="220"/>
      <c r="B66" s="211" t="s">
        <v>461</v>
      </c>
      <c r="C66" s="3"/>
      <c r="D66" s="3"/>
      <c r="E66" s="3"/>
      <c r="F66" s="3"/>
      <c r="G66" s="3" t="s">
        <v>79</v>
      </c>
      <c r="H66" s="401">
        <f>SUM(H64:H65)</f>
        <v>221545</v>
      </c>
      <c r="I66" s="401">
        <f t="shared" ref="I66:J66" si="9">SUM(I64:I65)</f>
        <v>320259</v>
      </c>
      <c r="J66" s="401">
        <f t="shared" si="9"/>
        <v>98714</v>
      </c>
      <c r="K66" s="312">
        <f>IF(O66=TRUE,"n/a",IF(H66=0,"n/a",(J66/H66)*100))</f>
        <v>44.557087724841452</v>
      </c>
      <c r="L66" s="193"/>
      <c r="M66" s="144"/>
      <c r="N66" s="205"/>
    </row>
    <row r="67" spans="1:14" ht="6" customHeight="1" thickBot="1" x14ac:dyDescent="0.35">
      <c r="A67" s="220"/>
      <c r="B67" s="203"/>
      <c r="C67" s="4"/>
      <c r="D67" s="4"/>
      <c r="E67" s="4"/>
      <c r="F67" s="4"/>
      <c r="G67" s="4"/>
      <c r="H67" s="204"/>
      <c r="I67" s="204"/>
      <c r="J67" s="105"/>
      <c r="K67" s="132"/>
      <c r="L67" s="193"/>
      <c r="M67" s="144"/>
      <c r="N67" s="205"/>
    </row>
    <row r="68" spans="1:14" ht="18.5" thickBot="1" x14ac:dyDescent="0.4">
      <c r="A68" s="221"/>
      <c r="B68" s="355" t="s">
        <v>134</v>
      </c>
      <c r="C68" s="356"/>
      <c r="D68" s="356"/>
      <c r="E68" s="356"/>
      <c r="F68" s="356"/>
      <c r="G68" s="357"/>
      <c r="H68" s="358">
        <f>H66+H62+H54</f>
        <v>2679340.0936125033</v>
      </c>
      <c r="I68" s="359">
        <f>I66+I62+I54</f>
        <v>2874178.8569562212</v>
      </c>
      <c r="J68" s="360">
        <f>J66+J62+J54</f>
        <v>194838.76334371715</v>
      </c>
      <c r="K68" s="361">
        <f>IF(O68=TRUE,"n/a",IF(H68=0,"n/a",(J68/H68)*100))</f>
        <v>7.2718936953247981</v>
      </c>
      <c r="L68" s="193"/>
      <c r="M68" s="98"/>
      <c r="N68" s="290"/>
    </row>
    <row r="69" spans="1:14" ht="6.75" customHeight="1" thickBot="1" x14ac:dyDescent="0.35">
      <c r="A69" s="221"/>
      <c r="B69" s="117"/>
      <c r="C69" s="4"/>
      <c r="D69" s="4"/>
      <c r="E69" s="4"/>
      <c r="F69" s="4"/>
      <c r="G69" s="4"/>
      <c r="H69" s="401"/>
      <c r="I69" s="401"/>
      <c r="J69" s="401"/>
      <c r="K69" s="119"/>
      <c r="L69" s="193"/>
      <c r="M69" s="98"/>
      <c r="N69" s="290"/>
    </row>
    <row r="70" spans="1:14" s="98" customFormat="1" ht="16" thickBot="1" x14ac:dyDescent="0.35">
      <c r="A70" s="315"/>
      <c r="B70" s="316" t="s">
        <v>72</v>
      </c>
      <c r="C70" s="3"/>
      <c r="D70" s="3"/>
      <c r="E70" s="3"/>
      <c r="F70" s="3"/>
      <c r="G70" s="3"/>
      <c r="H70" s="401">
        <f>(H16*4%)+((H22+H23)*50%)+(H25*50%)+H32</f>
        <v>309435.16760157322</v>
      </c>
      <c r="I70" s="401">
        <f>(I16*4%)+((I22+I23)*50%)+(I25*50%)+I32</f>
        <v>334187.78109448438</v>
      </c>
      <c r="J70" s="311">
        <f>I70-H70</f>
        <v>24752.613492911158</v>
      </c>
      <c r="K70" s="350">
        <f>(J70/H70)*100</f>
        <v>7.9992890545597151</v>
      </c>
      <c r="L70" s="318"/>
      <c r="N70" s="319"/>
    </row>
    <row r="71" spans="1:14" s="98" customFormat="1" x14ac:dyDescent="0.3">
      <c r="A71" s="315"/>
      <c r="B71" s="320"/>
      <c r="C71" s="291"/>
      <c r="D71" s="291"/>
      <c r="E71" s="291"/>
      <c r="F71" s="291"/>
      <c r="G71" s="291"/>
      <c r="H71" s="243"/>
      <c r="I71" s="243"/>
      <c r="L71" s="318"/>
      <c r="M71" s="320"/>
      <c r="N71" s="321"/>
    </row>
    <row r="72" spans="1:14" s="326" customFormat="1" ht="15.5" x14ac:dyDescent="0.35">
      <c r="A72" s="324"/>
      <c r="B72" s="352" t="s">
        <v>11</v>
      </c>
      <c r="C72" s="353"/>
      <c r="D72" s="353"/>
      <c r="E72" s="353"/>
      <c r="F72" s="353"/>
      <c r="G72" s="354"/>
      <c r="H72" s="379">
        <f>H68/H10</f>
        <v>4871.5274429318242</v>
      </c>
      <c r="I72" s="380">
        <f>I68/I10</f>
        <v>5042.4190472916162</v>
      </c>
      <c r="J72" s="380">
        <f>I72-H72</f>
        <v>170.89160435979193</v>
      </c>
      <c r="K72" s="381">
        <f>J72/H72*100</f>
        <v>3.507967600752024</v>
      </c>
      <c r="N72" s="349"/>
    </row>
    <row r="73" spans="1:14" s="326" customFormat="1" ht="15.5" x14ac:dyDescent="0.35">
      <c r="A73" s="324"/>
      <c r="B73" s="345" t="s">
        <v>364</v>
      </c>
      <c r="C73" s="344"/>
      <c r="D73" s="344"/>
      <c r="E73" s="344"/>
      <c r="F73" s="344"/>
      <c r="G73" s="344"/>
      <c r="H73" s="346">
        <f>(H54-I38-H41)/H10</f>
        <v>4178.7401702045518</v>
      </c>
      <c r="I73" s="347">
        <f>(I54-I38-I41)/I10</f>
        <v>4200.7576437828438</v>
      </c>
      <c r="J73" s="347">
        <f>I73-H73</f>
        <v>22.017473578292083</v>
      </c>
      <c r="K73" s="348">
        <f>(J73/H73)*100</f>
        <v>0.52689262029934525</v>
      </c>
      <c r="N73" s="349"/>
    </row>
    <row r="74" spans="1:14" s="98" customFormat="1" ht="15.5" hidden="1" x14ac:dyDescent="0.3">
      <c r="A74" s="315"/>
      <c r="B74" s="322" t="s">
        <v>138</v>
      </c>
      <c r="C74" s="292"/>
      <c r="D74" s="292"/>
      <c r="E74" s="292"/>
      <c r="F74" s="292"/>
      <c r="G74" s="292"/>
      <c r="H74" s="243">
        <f>(H68-H41-H44)/H10</f>
        <v>4814.2765338409154</v>
      </c>
      <c r="I74" s="243">
        <f>(I68-I41-I44)/I10</f>
        <v>4987.1769420284581</v>
      </c>
      <c r="J74" s="243">
        <f>I74-H74</f>
        <v>172.90040818754278</v>
      </c>
      <c r="K74" s="323">
        <f>J74/H74*100</f>
        <v>3.5914099859486002</v>
      </c>
      <c r="L74" s="318"/>
      <c r="M74" s="144"/>
      <c r="N74" s="164"/>
    </row>
    <row r="75" spans="1:14" s="98" customFormat="1" hidden="1" x14ac:dyDescent="0.3">
      <c r="A75" s="315"/>
      <c r="B75" s="322" t="s">
        <v>363</v>
      </c>
      <c r="C75" s="127"/>
      <c r="D75" s="127"/>
      <c r="E75" s="127"/>
      <c r="F75" s="127"/>
      <c r="G75" s="127"/>
      <c r="H75" s="243">
        <f>(H54-H41-H44-H65)/H10</f>
        <v>4008.6583520227332</v>
      </c>
      <c r="I75" s="243">
        <f>(I54-I41-I44-I65)/I10</f>
        <v>4017.0120297477565</v>
      </c>
      <c r="J75" s="243">
        <f>I75-H75</f>
        <v>8.3536777250233172</v>
      </c>
      <c r="K75" s="323">
        <f>J75/H75*100</f>
        <v>0.20839086276355098</v>
      </c>
      <c r="L75" s="318"/>
      <c r="M75" s="144"/>
      <c r="N75" s="164"/>
    </row>
    <row r="76" spans="1:14" s="98" customFormat="1" ht="13.5" thickBot="1" x14ac:dyDescent="0.35">
      <c r="A76" s="315"/>
      <c r="B76" s="322"/>
      <c r="C76" s="127"/>
      <c r="D76" s="127"/>
      <c r="E76" s="127"/>
      <c r="F76" s="127"/>
      <c r="G76" s="127"/>
      <c r="I76" s="243"/>
      <c r="J76" s="243"/>
      <c r="K76" s="323"/>
      <c r="L76" s="318"/>
      <c r="N76" s="319"/>
    </row>
    <row r="77" spans="1:14" s="144" customFormat="1" ht="14.5" thickBot="1" x14ac:dyDescent="0.35">
      <c r="A77" s="281"/>
      <c r="B77" s="3" t="s">
        <v>63</v>
      </c>
      <c r="C77" s="3"/>
      <c r="D77" s="3"/>
      <c r="E77" s="3"/>
      <c r="F77" s="3"/>
      <c r="G77" s="5"/>
      <c r="H77" s="311">
        <f>H54</f>
        <v>2457795.0936125033</v>
      </c>
      <c r="I77" s="311">
        <f>I54</f>
        <v>2553919.8569562212</v>
      </c>
      <c r="J77" s="311">
        <f>I77-H77</f>
        <v>96124.763343717903</v>
      </c>
      <c r="K77" s="350">
        <f>IF(O77=TRUE,"n/a",IF(H77=0,"n/a",(J77/H77)*100))</f>
        <v>3.9110161621501294</v>
      </c>
      <c r="L77" s="318"/>
      <c r="M77" s="98"/>
      <c r="N77" s="243"/>
    </row>
    <row r="78" spans="1:14" s="144" customFormat="1" ht="14.5" thickBot="1" x14ac:dyDescent="0.35">
      <c r="A78" s="281"/>
      <c r="B78" s="3" t="s">
        <v>383</v>
      </c>
      <c r="C78" s="3"/>
      <c r="D78" s="3"/>
      <c r="E78" s="3"/>
      <c r="F78" s="3"/>
      <c r="G78" s="5"/>
      <c r="H78" s="311">
        <f>-VLOOKUP($I5,'[12]Add Deleg'!$C:$H,6,FALSE)</f>
        <v>-17698.650677973586</v>
      </c>
      <c r="I78" s="311">
        <f>-VLOOKUP($I5,'[13]Add Deleg'!$C:$H,6,FALSE)</f>
        <v>-18063.3</v>
      </c>
      <c r="J78" s="311">
        <f>I78-H78</f>
        <v>-364.64932202641285</v>
      </c>
      <c r="K78" s="350">
        <f>IF(O78=TRUE,"n/a",IF(H78=0,"n/a",(J78/H78)*100))</f>
        <v>2.0603227255071377</v>
      </c>
      <c r="L78" s="193"/>
      <c r="M78" s="99"/>
      <c r="N78" s="254"/>
    </row>
    <row r="79" spans="1:14" s="144" customFormat="1" ht="14.5" thickBot="1" x14ac:dyDescent="0.35">
      <c r="A79" s="293"/>
      <c r="B79" s="3" t="s">
        <v>65</v>
      </c>
      <c r="C79" s="3"/>
      <c r="D79" s="3"/>
      <c r="E79" s="3"/>
      <c r="F79" s="3"/>
      <c r="G79" s="5"/>
      <c r="H79" s="492">
        <f>SUM(H77:H78)</f>
        <v>2440096.4429345299</v>
      </c>
      <c r="I79" s="492">
        <f>SUM(I77:I78)</f>
        <v>2535856.5569562213</v>
      </c>
      <c r="J79" s="492">
        <f>SUM(J77:J78)</f>
        <v>95760.114021691494</v>
      </c>
      <c r="K79" s="493">
        <f>IF(O79=TRUE,"n/a",IF(H79=0,"n/a",(J79/H79)*100))</f>
        <v>3.9244397203631687</v>
      </c>
      <c r="L79" s="193"/>
      <c r="M79" s="99"/>
      <c r="N79" s="254"/>
    </row>
    <row r="80" spans="1:14" s="144" customFormat="1" ht="14" x14ac:dyDescent="0.3">
      <c r="A80" s="294"/>
      <c r="B80" s="4"/>
      <c r="C80" s="4"/>
      <c r="D80" s="4"/>
      <c r="E80" s="4"/>
      <c r="F80" s="4"/>
      <c r="G80" s="131"/>
      <c r="H80" s="105"/>
      <c r="I80" s="105"/>
      <c r="J80" s="132"/>
      <c r="K80" s="193"/>
      <c r="L80" s="99"/>
      <c r="M80" s="254"/>
    </row>
    <row r="81" spans="1:13" s="243" customFormat="1" ht="14" hidden="1" outlineLevel="1" x14ac:dyDescent="0.3">
      <c r="A81" s="721"/>
      <c r="B81" s="4" t="s">
        <v>111</v>
      </c>
      <c r="C81" s="722" t="s">
        <v>112</v>
      </c>
      <c r="D81" s="4" t="s">
        <v>113</v>
      </c>
      <c r="E81" s="4" t="s">
        <v>114</v>
      </c>
      <c r="F81" s="4" t="s">
        <v>115</v>
      </c>
      <c r="G81" s="4" t="s">
        <v>116</v>
      </c>
      <c r="K81" s="297"/>
      <c r="M81" s="254"/>
    </row>
    <row r="82" spans="1:13" hidden="1" outlineLevel="1" x14ac:dyDescent="0.3">
      <c r="A82" s="116">
        <v>1</v>
      </c>
      <c r="B82" s="248" t="str">
        <f>'[13]Schools List'!$E5</f>
        <v>Abbey Lane Primary School</v>
      </c>
      <c r="C82" s="301">
        <v>1</v>
      </c>
      <c r="D82" s="249" t="str">
        <f t="shared" ref="D82:D113" si="10">IF(G82=0,7&amp;E82,6&amp;E82)</f>
        <v>72001</v>
      </c>
      <c r="E82" s="250">
        <f>'[13]Schools List'!$D5</f>
        <v>2001</v>
      </c>
      <c r="F82" s="250">
        <f>'[13]Schools List'!$C5</f>
        <v>0</v>
      </c>
      <c r="G82" s="251">
        <f>'[13]Schools List'!$G5</f>
        <v>0</v>
      </c>
      <c r="H82" s="99"/>
    </row>
    <row r="83" spans="1:13" hidden="1" outlineLevel="1" x14ac:dyDescent="0.3">
      <c r="A83" s="116">
        <v>2</v>
      </c>
      <c r="B83" s="248" t="str">
        <f>'[13]Schools List'!$E8</f>
        <v>Angram Bank Primary School</v>
      </c>
      <c r="C83" s="301">
        <v>2</v>
      </c>
      <c r="D83" s="249" t="str">
        <f t="shared" si="10"/>
        <v>72342</v>
      </c>
      <c r="E83" s="250">
        <f>'[13]Schools List'!$D8</f>
        <v>2342</v>
      </c>
      <c r="F83" s="250">
        <f>'[13]Schools List'!$C8</f>
        <v>0</v>
      </c>
      <c r="G83" s="251">
        <f>'[13]Schools List'!$G8</f>
        <v>0</v>
      </c>
      <c r="H83" s="99"/>
    </row>
    <row r="84" spans="1:13" ht="14.4" hidden="1" customHeight="1" outlineLevel="1" x14ac:dyDescent="0.3">
      <c r="A84" s="116">
        <v>3</v>
      </c>
      <c r="B84" s="248" t="str">
        <f>'[13]Schools List'!$E9</f>
        <v>Anns Grove Primary School</v>
      </c>
      <c r="C84" s="301">
        <v>3</v>
      </c>
      <c r="D84" s="249" t="str">
        <f t="shared" si="10"/>
        <v>72343</v>
      </c>
      <c r="E84" s="250">
        <f>'[13]Schools List'!$D9</f>
        <v>2343</v>
      </c>
      <c r="F84" s="250">
        <f>'[13]Schools List'!$C9</f>
        <v>0</v>
      </c>
      <c r="G84" s="251">
        <f>'[13]Schools List'!$G9</f>
        <v>0</v>
      </c>
      <c r="H84" s="99"/>
      <c r="L84" s="296"/>
    </row>
    <row r="85" spans="1:13" hidden="1" outlineLevel="1" x14ac:dyDescent="0.3">
      <c r="A85" s="116">
        <v>4</v>
      </c>
      <c r="B85" s="248" t="str">
        <f>'[13]Schools List'!$E10</f>
        <v>Arbourthorne Community Primary School</v>
      </c>
      <c r="C85" s="301">
        <v>4</v>
      </c>
      <c r="D85" s="249" t="str">
        <f t="shared" si="10"/>
        <v>73429</v>
      </c>
      <c r="E85" s="250">
        <f>'[13]Schools List'!$D10</f>
        <v>3429</v>
      </c>
      <c r="F85" s="250">
        <f>'[13]Schools List'!$C10</f>
        <v>0</v>
      </c>
      <c r="G85" s="251">
        <f>'[13]Schools List'!$G10</f>
        <v>0</v>
      </c>
      <c r="H85" s="99"/>
    </row>
    <row r="86" spans="1:13" hidden="1" outlineLevel="1" x14ac:dyDescent="0.3">
      <c r="A86" s="116">
        <v>5</v>
      </c>
      <c r="B86" s="248" t="str">
        <f>'[13]Schools List'!$E11</f>
        <v>Athelstan Primary School</v>
      </c>
      <c r="C86" s="301">
        <v>5</v>
      </c>
      <c r="D86" s="249" t="str">
        <f t="shared" si="10"/>
        <v>72340</v>
      </c>
      <c r="E86" s="250">
        <f>'[13]Schools List'!$D11</f>
        <v>2340</v>
      </c>
      <c r="F86" s="250">
        <f>'[13]Schools List'!$C11</f>
        <v>0</v>
      </c>
      <c r="G86" s="251">
        <f>'[13]Schools List'!$G11</f>
        <v>0</v>
      </c>
      <c r="H86" s="99"/>
    </row>
    <row r="87" spans="1:13" hidden="1" outlineLevel="1" x14ac:dyDescent="0.3">
      <c r="A87" s="116">
        <v>6</v>
      </c>
      <c r="B87" s="248" t="str">
        <f>'[13]Schools List'!$E12</f>
        <v>Ballifield Primary School</v>
      </c>
      <c r="C87" s="301">
        <v>6</v>
      </c>
      <c r="D87" s="249" t="str">
        <f t="shared" si="10"/>
        <v>72281</v>
      </c>
      <c r="E87" s="250">
        <f>'[13]Schools List'!$D12</f>
        <v>2281</v>
      </c>
      <c r="F87" s="250">
        <f>'[13]Schools List'!$C12</f>
        <v>0</v>
      </c>
      <c r="G87" s="251">
        <f>'[13]Schools List'!$G12</f>
        <v>0</v>
      </c>
      <c r="H87" s="99"/>
    </row>
    <row r="88" spans="1:13" hidden="1" outlineLevel="1" x14ac:dyDescent="0.3">
      <c r="A88" s="116">
        <v>7</v>
      </c>
      <c r="B88" s="248" t="str">
        <f>'[13]Schools List'!$E13</f>
        <v>Bankwood Community Primary School</v>
      </c>
      <c r="C88" s="301">
        <v>7</v>
      </c>
      <c r="D88" s="249" t="str">
        <f t="shared" si="10"/>
        <v>72322</v>
      </c>
      <c r="E88" s="250">
        <f>'[13]Schools List'!$D13</f>
        <v>2322</v>
      </c>
      <c r="F88" s="250">
        <f>'[13]Schools List'!$C13</f>
        <v>0</v>
      </c>
      <c r="G88" s="251">
        <f>'[13]Schools List'!$G13</f>
        <v>0</v>
      </c>
      <c r="H88" s="99"/>
    </row>
    <row r="89" spans="1:13" ht="13" hidden="1" customHeight="1" outlineLevel="1" x14ac:dyDescent="0.25">
      <c r="A89" s="116">
        <v>8</v>
      </c>
      <c r="B89" s="248" t="str">
        <f>'[13]Schools List'!$E15</f>
        <v>Beighton Nursery Infant School</v>
      </c>
      <c r="C89" s="301">
        <v>8</v>
      </c>
      <c r="D89" s="249" t="str">
        <f t="shared" si="10"/>
        <v>72241</v>
      </c>
      <c r="E89" s="250">
        <f>'[13]Schools List'!$D15</f>
        <v>2241</v>
      </c>
      <c r="F89" s="250">
        <f>'[13]Schools List'!$C15</f>
        <v>0</v>
      </c>
      <c r="G89" s="251">
        <f>'[13]Schools List'!$G15</f>
        <v>0</v>
      </c>
      <c r="H89" s="99"/>
      <c r="M89" s="99"/>
    </row>
    <row r="90" spans="1:13" ht="13" hidden="1" customHeight="1" outlineLevel="1" x14ac:dyDescent="0.25">
      <c r="A90" s="116">
        <v>9</v>
      </c>
      <c r="B90" s="248" t="str">
        <f>'[13]Schools List'!$E19</f>
        <v>Bradway Primary School</v>
      </c>
      <c r="C90" s="301">
        <v>9</v>
      </c>
      <c r="D90" s="249" t="str">
        <f t="shared" si="10"/>
        <v>72233</v>
      </c>
      <c r="E90" s="250">
        <f>'[13]Schools List'!$D19</f>
        <v>2233</v>
      </c>
      <c r="F90" s="250">
        <f>'[13]Schools List'!$C19</f>
        <v>0</v>
      </c>
      <c r="G90" s="251">
        <f>'[13]Schools List'!$G19</f>
        <v>0</v>
      </c>
      <c r="H90" s="99"/>
      <c r="M90" s="99"/>
    </row>
    <row r="91" spans="1:13" ht="13" hidden="1" customHeight="1" outlineLevel="1" x14ac:dyDescent="0.25">
      <c r="A91" s="116">
        <v>10</v>
      </c>
      <c r="B91" s="248" t="str">
        <f>'[13]Schools List'!$E20</f>
        <v>Brightside Nursery and Infant School</v>
      </c>
      <c r="C91" s="301">
        <v>10</v>
      </c>
      <c r="D91" s="249" t="str">
        <f t="shared" si="10"/>
        <v>72014</v>
      </c>
      <c r="E91" s="250">
        <f>'[13]Schools List'!$D20</f>
        <v>2014</v>
      </c>
      <c r="F91" s="250">
        <f>'[13]Schools List'!$C20</f>
        <v>0</v>
      </c>
      <c r="G91" s="251">
        <f>'[13]Schools List'!$G20</f>
        <v>0</v>
      </c>
      <c r="H91" s="99"/>
      <c r="M91" s="99"/>
    </row>
    <row r="92" spans="1:13" ht="12.5" hidden="1" outlineLevel="1" x14ac:dyDescent="0.25">
      <c r="A92" s="116">
        <v>11</v>
      </c>
      <c r="B92" s="248" t="str">
        <f>'[13]Schools List'!$E22</f>
        <v>Broomhill Infant School</v>
      </c>
      <c r="C92" s="301">
        <v>11</v>
      </c>
      <c r="D92" s="249" t="str">
        <f t="shared" si="10"/>
        <v>75204</v>
      </c>
      <c r="E92" s="250">
        <f>'[13]Schools List'!$D22</f>
        <v>5204</v>
      </c>
      <c r="F92" s="250">
        <f>'[13]Schools List'!$C22</f>
        <v>0</v>
      </c>
      <c r="G92" s="251">
        <f>'[13]Schools List'!$G22</f>
        <v>0</v>
      </c>
      <c r="H92" s="99"/>
      <c r="M92" s="99"/>
    </row>
    <row r="93" spans="1:13" ht="12.5" hidden="1" outlineLevel="1" x14ac:dyDescent="0.25">
      <c r="A93" s="116">
        <v>12</v>
      </c>
      <c r="B93" s="248" t="str">
        <f>'[13]Schools List'!$E23</f>
        <v>Brunswick Community Primary School</v>
      </c>
      <c r="C93" s="301">
        <v>12</v>
      </c>
      <c r="D93" s="249" t="str">
        <f t="shared" si="10"/>
        <v>72325</v>
      </c>
      <c r="E93" s="250">
        <f>'[13]Schools List'!$D23</f>
        <v>2325</v>
      </c>
      <c r="F93" s="250">
        <f>'[13]Schools List'!$C23</f>
        <v>0</v>
      </c>
      <c r="G93" s="251">
        <f>'[13]Schools List'!$G23</f>
        <v>0</v>
      </c>
      <c r="H93" s="99"/>
      <c r="M93" s="99"/>
    </row>
    <row r="94" spans="1:13" ht="12.5" hidden="1" outlineLevel="1" x14ac:dyDescent="0.25">
      <c r="A94" s="116">
        <v>13</v>
      </c>
      <c r="B94" s="248" t="str">
        <f>'[13]Schools List'!$E25</f>
        <v>Carfield Primary School</v>
      </c>
      <c r="C94" s="301">
        <v>13</v>
      </c>
      <c r="D94" s="249" t="str">
        <f t="shared" si="10"/>
        <v>72344</v>
      </c>
      <c r="E94" s="250">
        <f>'[13]Schools List'!$D25</f>
        <v>2344</v>
      </c>
      <c r="F94" s="250">
        <f>'[13]Schools List'!$C25</f>
        <v>0</v>
      </c>
      <c r="G94" s="251">
        <f>'[13]Schools List'!$G25</f>
        <v>0</v>
      </c>
      <c r="H94" s="99"/>
      <c r="M94" s="99"/>
    </row>
    <row r="95" spans="1:13" ht="12.5" hidden="1" outlineLevel="1" x14ac:dyDescent="0.25">
      <c r="A95" s="116">
        <v>14</v>
      </c>
      <c r="B95" s="248" t="str">
        <f>'[13]Schools List'!$E26</f>
        <v>Carter Knowle Junior School</v>
      </c>
      <c r="C95" s="301">
        <v>14</v>
      </c>
      <c r="D95" s="249" t="str">
        <f t="shared" si="10"/>
        <v>72023</v>
      </c>
      <c r="E95" s="250">
        <f>'[13]Schools List'!$D26</f>
        <v>2023</v>
      </c>
      <c r="F95" s="250">
        <f>'[13]Schools List'!$C26</f>
        <v>0</v>
      </c>
      <c r="G95" s="251">
        <f>'[13]Schools List'!$G26</f>
        <v>0</v>
      </c>
      <c r="H95" s="99"/>
      <c r="M95" s="99"/>
    </row>
    <row r="96" spans="1:13" ht="12.5" hidden="1" outlineLevel="1" x14ac:dyDescent="0.25">
      <c r="A96" s="116">
        <v>15</v>
      </c>
      <c r="B96" s="248" t="str">
        <f>'[13]Schools List'!$E28</f>
        <v>Clifford All Saints CofE Primary School</v>
      </c>
      <c r="C96" s="301">
        <v>15</v>
      </c>
      <c r="D96" s="249" t="str">
        <f t="shared" si="10"/>
        <v>75200</v>
      </c>
      <c r="E96" s="250">
        <f>'[13]Schools List'!$D28</f>
        <v>5200</v>
      </c>
      <c r="F96" s="250">
        <f>'[13]Schools List'!$C28</f>
        <v>0</v>
      </c>
      <c r="G96" s="251">
        <f>'[13]Schools List'!$G28</f>
        <v>0</v>
      </c>
      <c r="H96" s="99"/>
      <c r="M96" s="99"/>
    </row>
    <row r="97" spans="1:13" ht="12.5" hidden="1" outlineLevel="1" x14ac:dyDescent="0.25">
      <c r="A97" s="116">
        <v>16</v>
      </c>
      <c r="B97" s="248" t="str">
        <f>'[13]Schools List'!$E29</f>
        <v>Coit Primary School</v>
      </c>
      <c r="C97" s="301">
        <v>16</v>
      </c>
      <c r="D97" s="249" t="str">
        <f t="shared" si="10"/>
        <v>72312</v>
      </c>
      <c r="E97" s="250">
        <f>'[13]Schools List'!$D29</f>
        <v>2312</v>
      </c>
      <c r="F97" s="250">
        <f>'[13]Schools List'!$C29</f>
        <v>0</v>
      </c>
      <c r="G97" s="251">
        <f>'[13]Schools List'!$G29</f>
        <v>0</v>
      </c>
      <c r="H97" s="99"/>
      <c r="M97" s="99"/>
    </row>
    <row r="98" spans="1:13" ht="12.5" hidden="1" outlineLevel="1" x14ac:dyDescent="0.25">
      <c r="A98" s="116">
        <v>17</v>
      </c>
      <c r="B98" s="248" t="str">
        <f>'[13]Schools List'!$E31</f>
        <v>Deepcar St John's Church of England Junior School</v>
      </c>
      <c r="C98" s="301">
        <v>17</v>
      </c>
      <c r="D98" s="249" t="str">
        <f t="shared" si="10"/>
        <v>73422</v>
      </c>
      <c r="E98" s="250">
        <f>'[13]Schools List'!$D31</f>
        <v>3422</v>
      </c>
      <c r="F98" s="250">
        <f>'[13]Schools List'!$C31</f>
        <v>0</v>
      </c>
      <c r="G98" s="251">
        <f>'[13]Schools List'!$G31</f>
        <v>0</v>
      </c>
      <c r="H98" s="99"/>
      <c r="M98" s="99"/>
    </row>
    <row r="99" spans="1:13" ht="12.5" hidden="1" outlineLevel="1" x14ac:dyDescent="0.25">
      <c r="A99" s="116">
        <v>18</v>
      </c>
      <c r="B99" s="248" t="str">
        <f>'[13]Schools List'!$E32</f>
        <v>Dobcroft Infant School</v>
      </c>
      <c r="C99" s="301">
        <v>18</v>
      </c>
      <c r="D99" s="249" t="str">
        <f t="shared" si="10"/>
        <v>72283</v>
      </c>
      <c r="E99" s="250">
        <f>'[13]Schools List'!$D32</f>
        <v>2283</v>
      </c>
      <c r="F99" s="250">
        <f>'[13]Schools List'!$C32</f>
        <v>0</v>
      </c>
      <c r="G99" s="251">
        <f>'[13]Schools List'!$G32</f>
        <v>0</v>
      </c>
      <c r="H99" s="99"/>
      <c r="M99" s="99"/>
    </row>
    <row r="100" spans="1:13" ht="12.5" hidden="1" outlineLevel="1" x14ac:dyDescent="0.25">
      <c r="A100" s="116">
        <v>19</v>
      </c>
      <c r="B100" s="248" t="str">
        <f>'[13]Schools List'!$E33</f>
        <v>Dobcroft Junior School</v>
      </c>
      <c r="C100" s="301">
        <v>19</v>
      </c>
      <c r="D100" s="249" t="str">
        <f t="shared" si="10"/>
        <v>72239</v>
      </c>
      <c r="E100" s="250">
        <f>'[13]Schools List'!$D33</f>
        <v>2239</v>
      </c>
      <c r="F100" s="250">
        <f>'[13]Schools List'!$C33</f>
        <v>0</v>
      </c>
      <c r="G100" s="251">
        <f>'[13]Schools List'!$G33</f>
        <v>0</v>
      </c>
      <c r="H100" s="99"/>
      <c r="M100" s="99"/>
    </row>
    <row r="101" spans="1:13" ht="12.5" hidden="1" outlineLevel="1" x14ac:dyDescent="0.25">
      <c r="A101" s="116">
        <v>20</v>
      </c>
      <c r="B101" s="248" t="str">
        <f>'[13]Schools List'!$E34</f>
        <v>Dore Primary School</v>
      </c>
      <c r="C101" s="301">
        <v>20</v>
      </c>
      <c r="D101" s="249" t="str">
        <f t="shared" si="10"/>
        <v>72364</v>
      </c>
      <c r="E101" s="250">
        <f>'[13]Schools List'!$D34</f>
        <v>2364</v>
      </c>
      <c r="F101" s="250">
        <f>'[13]Schools List'!$C34</f>
        <v>0</v>
      </c>
      <c r="G101" s="251">
        <f>'[13]Schools List'!$G34</f>
        <v>0</v>
      </c>
      <c r="H101" s="99"/>
      <c r="M101" s="99"/>
    </row>
    <row r="102" spans="1:13" ht="12.5" hidden="1" outlineLevel="1" x14ac:dyDescent="0.25">
      <c r="A102" s="116">
        <v>21</v>
      </c>
      <c r="B102" s="248" t="str">
        <f>'[13]Schools List'!$E36</f>
        <v>Ecclesall Primary School</v>
      </c>
      <c r="C102" s="301">
        <v>21</v>
      </c>
      <c r="D102" s="249" t="str">
        <f t="shared" si="10"/>
        <v>72206</v>
      </c>
      <c r="E102" s="250">
        <f>'[13]Schools List'!$D36</f>
        <v>2206</v>
      </c>
      <c r="F102" s="250">
        <f>'[13]Schools List'!$C36</f>
        <v>0</v>
      </c>
      <c r="G102" s="251">
        <f>'[13]Schools List'!$G36</f>
        <v>0</v>
      </c>
      <c r="H102" s="99"/>
      <c r="M102" s="99"/>
    </row>
    <row r="103" spans="1:13" ht="12.5" hidden="1" outlineLevel="1" x14ac:dyDescent="0.25">
      <c r="A103" s="116">
        <v>22</v>
      </c>
      <c r="B103" s="248" t="str">
        <f>'[13]Schools List'!$E37</f>
        <v>Ecclesfield Primary School</v>
      </c>
      <c r="C103" s="301">
        <v>22</v>
      </c>
      <c r="D103" s="249" t="str">
        <f t="shared" si="10"/>
        <v>72080</v>
      </c>
      <c r="E103" s="250">
        <f>'[13]Schools List'!$D37</f>
        <v>2080</v>
      </c>
      <c r="F103" s="250">
        <f>'[13]Schools List'!$C37</f>
        <v>0</v>
      </c>
      <c r="G103" s="251">
        <f>'[13]Schools List'!$G37</f>
        <v>0</v>
      </c>
      <c r="H103" s="99"/>
      <c r="M103" s="99"/>
    </row>
    <row r="104" spans="1:13" ht="12.5" hidden="1" outlineLevel="1" x14ac:dyDescent="0.25">
      <c r="A104" s="116">
        <v>23</v>
      </c>
      <c r="B104" s="248" t="str">
        <f>'[13]Schools List'!$E41</f>
        <v>Gleadless Primary School</v>
      </c>
      <c r="C104" s="301">
        <v>23</v>
      </c>
      <c r="D104" s="249" t="str">
        <f t="shared" si="10"/>
        <v>72036</v>
      </c>
      <c r="E104" s="250">
        <f>'[13]Schools List'!$D41</f>
        <v>2036</v>
      </c>
      <c r="F104" s="250">
        <f>'[13]Schools List'!$C41</f>
        <v>0</v>
      </c>
      <c r="G104" s="251">
        <f>'[13]Schools List'!$G41</f>
        <v>0</v>
      </c>
      <c r="H104" s="99"/>
      <c r="M104" s="99"/>
    </row>
    <row r="105" spans="1:13" ht="12.5" hidden="1" outlineLevel="1" x14ac:dyDescent="0.25">
      <c r="A105" s="116">
        <v>24</v>
      </c>
      <c r="B105" s="248" t="str">
        <f>'[13]Schools List'!$E44</f>
        <v>Grenoside Community Primary School</v>
      </c>
      <c r="C105" s="301">
        <v>24</v>
      </c>
      <c r="D105" s="249" t="str">
        <f t="shared" si="10"/>
        <v>72296</v>
      </c>
      <c r="E105" s="250">
        <f>'[13]Schools List'!$D44</f>
        <v>2296</v>
      </c>
      <c r="F105" s="250">
        <f>'[13]Schools List'!$C44</f>
        <v>0</v>
      </c>
      <c r="G105" s="251">
        <f>'[13]Schools List'!$G44</f>
        <v>0</v>
      </c>
      <c r="H105" s="99"/>
      <c r="M105" s="99"/>
    </row>
    <row r="106" spans="1:13" ht="12.5" hidden="1" outlineLevel="1" x14ac:dyDescent="0.25">
      <c r="A106" s="116">
        <v>25</v>
      </c>
      <c r="B106" s="248" t="str">
        <f>'[13]Schools List'!$E45</f>
        <v>Greystones Primary School</v>
      </c>
      <c r="C106" s="301">
        <v>25</v>
      </c>
      <c r="D106" s="249" t="str">
        <f t="shared" si="10"/>
        <v>72356</v>
      </c>
      <c r="E106" s="250">
        <f>'[13]Schools List'!$D45</f>
        <v>2356</v>
      </c>
      <c r="F106" s="250">
        <f>'[13]Schools List'!$C45</f>
        <v>0</v>
      </c>
      <c r="G106" s="251">
        <f>'[13]Schools List'!$G45</f>
        <v>0</v>
      </c>
      <c r="H106" s="99"/>
      <c r="M106" s="99"/>
    </row>
    <row r="107" spans="1:13" ht="12.5" hidden="1" outlineLevel="1" x14ac:dyDescent="0.25">
      <c r="A107" s="116">
        <v>26</v>
      </c>
      <c r="B107" s="248" t="str">
        <f>'[13]Schools List'!$E46</f>
        <v>Halfway Junior School</v>
      </c>
      <c r="C107" s="301">
        <v>26</v>
      </c>
      <c r="D107" s="249" t="str">
        <f t="shared" si="10"/>
        <v>72279</v>
      </c>
      <c r="E107" s="250">
        <f>'[13]Schools List'!$D46</f>
        <v>2279</v>
      </c>
      <c r="F107" s="250">
        <f>'[13]Schools List'!$C46</f>
        <v>0</v>
      </c>
      <c r="G107" s="251">
        <f>'[13]Schools List'!$G46</f>
        <v>0</v>
      </c>
      <c r="H107" s="99"/>
      <c r="M107" s="99"/>
    </row>
    <row r="108" spans="1:13" ht="12.5" hidden="1" outlineLevel="1" x14ac:dyDescent="0.25">
      <c r="A108" s="116">
        <v>27</v>
      </c>
      <c r="B108" s="248" t="str">
        <f>'[13]Schools List'!$E47</f>
        <v>Halfway Nursery Infant School</v>
      </c>
      <c r="C108" s="301">
        <v>27</v>
      </c>
      <c r="D108" s="249" t="str">
        <f t="shared" si="10"/>
        <v>72252</v>
      </c>
      <c r="E108" s="250">
        <f>'[13]Schools List'!$D47</f>
        <v>2252</v>
      </c>
      <c r="F108" s="250">
        <f>'[13]Schools List'!$C47</f>
        <v>0</v>
      </c>
      <c r="G108" s="251">
        <f>'[13]Schools List'!$G47</f>
        <v>0</v>
      </c>
      <c r="H108" s="99"/>
      <c r="M108" s="99"/>
    </row>
    <row r="109" spans="1:13" ht="12.5" hidden="1" outlineLevel="1" x14ac:dyDescent="0.25">
      <c r="A109" s="116">
        <v>28</v>
      </c>
      <c r="B109" s="248" t="str">
        <f>'[13]Schools List'!$E51</f>
        <v>High Green Primary School</v>
      </c>
      <c r="C109" s="301">
        <v>28</v>
      </c>
      <c r="D109" s="249" t="str">
        <f t="shared" si="10"/>
        <v>72297</v>
      </c>
      <c r="E109" s="250">
        <f>'[13]Schools List'!$D51</f>
        <v>2297</v>
      </c>
      <c r="F109" s="250">
        <f>'[13]Schools List'!$C51</f>
        <v>0</v>
      </c>
      <c r="G109" s="251">
        <f>'[13]Schools List'!$G51</f>
        <v>0</v>
      </c>
      <c r="H109" s="99"/>
      <c r="M109" s="99"/>
    </row>
    <row r="110" spans="1:13" ht="12.5" hidden="1" outlineLevel="1" x14ac:dyDescent="0.25">
      <c r="A110" s="116">
        <v>29</v>
      </c>
      <c r="B110" s="248" t="str">
        <f>'[13]Schools List'!$E55</f>
        <v>Holt House Infant School</v>
      </c>
      <c r="C110" s="301">
        <v>29</v>
      </c>
      <c r="D110" s="249" t="str">
        <f t="shared" si="10"/>
        <v>72213</v>
      </c>
      <c r="E110" s="250">
        <f>'[13]Schools List'!$D55</f>
        <v>2213</v>
      </c>
      <c r="F110" s="250">
        <f>'[13]Schools List'!$C55</f>
        <v>0</v>
      </c>
      <c r="G110" s="251">
        <f>'[13]Schools List'!$G55</f>
        <v>0</v>
      </c>
      <c r="H110" s="99"/>
      <c r="M110" s="99"/>
    </row>
    <row r="111" spans="1:13" ht="12.5" hidden="1" outlineLevel="1" x14ac:dyDescent="0.25">
      <c r="A111" s="116">
        <v>30</v>
      </c>
      <c r="B111" s="248" t="str">
        <f>'[13]Schools List'!$E57</f>
        <v>Hunter's Bar Infant School</v>
      </c>
      <c r="C111" s="301">
        <v>30</v>
      </c>
      <c r="D111" s="249" t="str">
        <f t="shared" si="10"/>
        <v>72060</v>
      </c>
      <c r="E111" s="250">
        <f>'[13]Schools List'!$D57</f>
        <v>2060</v>
      </c>
      <c r="F111" s="250">
        <f>'[13]Schools List'!$C57</f>
        <v>0</v>
      </c>
      <c r="G111" s="251">
        <f>'[13]Schools List'!$G57</f>
        <v>0</v>
      </c>
      <c r="H111" s="99"/>
      <c r="M111" s="99"/>
    </row>
    <row r="112" spans="1:13" ht="12.5" hidden="1" outlineLevel="1" x14ac:dyDescent="0.25">
      <c r="A112" s="116">
        <v>31</v>
      </c>
      <c r="B112" s="248" t="str">
        <f>'[13]Schools List'!$E58</f>
        <v>Hunter's Bar Junior School</v>
      </c>
      <c r="C112" s="301">
        <v>31</v>
      </c>
      <c r="D112" s="249" t="str">
        <f t="shared" si="10"/>
        <v>72058</v>
      </c>
      <c r="E112" s="250">
        <f>'[13]Schools List'!$D58</f>
        <v>2058</v>
      </c>
      <c r="F112" s="250">
        <f>'[13]Schools List'!$C58</f>
        <v>0</v>
      </c>
      <c r="G112" s="251">
        <f>'[13]Schools List'!$G58</f>
        <v>0</v>
      </c>
      <c r="H112" s="99"/>
      <c r="M112" s="99"/>
    </row>
    <row r="113" spans="1:13" ht="12.5" hidden="1" outlineLevel="1" x14ac:dyDescent="0.25">
      <c r="A113" s="116">
        <v>32</v>
      </c>
      <c r="B113" s="248" t="str">
        <f>'[13]Schools List'!$E59</f>
        <v>Intake Primary School</v>
      </c>
      <c r="C113" s="301">
        <v>32</v>
      </c>
      <c r="D113" s="249" t="str">
        <f t="shared" si="10"/>
        <v>72063</v>
      </c>
      <c r="E113" s="250">
        <f>'[13]Schools List'!$D59</f>
        <v>2063</v>
      </c>
      <c r="F113" s="250">
        <f>'[13]Schools List'!$C59</f>
        <v>0</v>
      </c>
      <c r="G113" s="251">
        <f>'[13]Schools List'!$G59</f>
        <v>0</v>
      </c>
      <c r="H113" s="99"/>
      <c r="M113" s="99"/>
    </row>
    <row r="114" spans="1:13" ht="12.5" hidden="1" outlineLevel="1" x14ac:dyDescent="0.25">
      <c r="A114" s="116">
        <v>33</v>
      </c>
      <c r="B114" s="248" t="str">
        <f>'[13]Schools List'!$E60</f>
        <v>Limpsfield Junior School</v>
      </c>
      <c r="C114" s="301">
        <v>33</v>
      </c>
      <c r="D114" s="249" t="str">
        <f t="shared" ref="D114:D145" si="11">IF(G114=0,7&amp;E114,6&amp;E114)</f>
        <v>72261</v>
      </c>
      <c r="E114" s="250">
        <f>'[13]Schools List'!$D60</f>
        <v>2261</v>
      </c>
      <c r="F114" s="250">
        <f>'[13]Schools List'!$C60</f>
        <v>0</v>
      </c>
      <c r="G114" s="251">
        <f>'[13]Schools List'!$G60</f>
        <v>0</v>
      </c>
      <c r="H114" s="99"/>
      <c r="M114" s="99"/>
    </row>
    <row r="115" spans="1:13" ht="12.5" hidden="1" outlineLevel="1" x14ac:dyDescent="0.25">
      <c r="A115" s="116">
        <v>34</v>
      </c>
      <c r="B115" s="248" t="str">
        <f>'[13]Schools List'!$E65</f>
        <v>Lowfield Community Primary School</v>
      </c>
      <c r="C115" s="301">
        <v>34</v>
      </c>
      <c r="D115" s="249" t="str">
        <f t="shared" si="11"/>
        <v>72070</v>
      </c>
      <c r="E115" s="250">
        <f>'[13]Schools List'!$D65</f>
        <v>2070</v>
      </c>
      <c r="F115" s="250">
        <f>'[13]Schools List'!$C65</f>
        <v>0</v>
      </c>
      <c r="G115" s="251">
        <f>'[13]Schools List'!$G65</f>
        <v>0</v>
      </c>
      <c r="H115" s="99"/>
      <c r="M115" s="99"/>
    </row>
    <row r="116" spans="1:13" ht="12.5" hidden="1" outlineLevel="1" x14ac:dyDescent="0.25">
      <c r="A116" s="116">
        <v>35</v>
      </c>
      <c r="B116" s="248" t="str">
        <f>'[13]Schools List'!$E67</f>
        <v>Lydgate Infant School</v>
      </c>
      <c r="C116" s="301">
        <v>35</v>
      </c>
      <c r="D116" s="249" t="str">
        <f t="shared" si="11"/>
        <v>72072</v>
      </c>
      <c r="E116" s="250">
        <f>'[13]Schools List'!$D67</f>
        <v>2072</v>
      </c>
      <c r="F116" s="250">
        <f>'[13]Schools List'!$C67</f>
        <v>0</v>
      </c>
      <c r="G116" s="251">
        <f>'[13]Schools List'!$G67</f>
        <v>0</v>
      </c>
      <c r="H116" s="99"/>
      <c r="M116" s="99"/>
    </row>
    <row r="117" spans="1:13" ht="12.5" hidden="1" outlineLevel="1" x14ac:dyDescent="0.25">
      <c r="A117" s="116">
        <v>36</v>
      </c>
      <c r="B117" s="248" t="str">
        <f>'[13]Schools List'!$E68</f>
        <v>Lydgate Junior School</v>
      </c>
      <c r="C117" s="301">
        <v>36</v>
      </c>
      <c r="D117" s="249" t="str">
        <f t="shared" si="11"/>
        <v>72071</v>
      </c>
      <c r="E117" s="250">
        <f>'[13]Schools List'!$D68</f>
        <v>2071</v>
      </c>
      <c r="F117" s="250">
        <f>'[13]Schools List'!$C68</f>
        <v>0</v>
      </c>
      <c r="G117" s="251">
        <f>'[13]Schools List'!$G68</f>
        <v>0</v>
      </c>
      <c r="H117" s="99"/>
      <c r="M117" s="99"/>
    </row>
    <row r="118" spans="1:13" ht="12.5" hidden="1" outlineLevel="1" x14ac:dyDescent="0.25">
      <c r="A118" s="116">
        <v>37</v>
      </c>
      <c r="B118" s="248" t="str">
        <f>'[13]Schools List'!$E72</f>
        <v>Marlcliffe Community Primary School</v>
      </c>
      <c r="C118" s="301">
        <v>37</v>
      </c>
      <c r="D118" s="249" t="str">
        <f t="shared" si="11"/>
        <v>72079</v>
      </c>
      <c r="E118" s="250">
        <f>'[13]Schools List'!$D72</f>
        <v>2079</v>
      </c>
      <c r="F118" s="250">
        <f>'[13]Schools List'!$C72</f>
        <v>0</v>
      </c>
      <c r="G118" s="251">
        <f>'[13]Schools List'!$G72</f>
        <v>0</v>
      </c>
      <c r="H118" s="99"/>
      <c r="K118" s="297"/>
      <c r="M118" s="99"/>
    </row>
    <row r="119" spans="1:13" ht="12.5" hidden="1" outlineLevel="1" x14ac:dyDescent="0.25">
      <c r="A119" s="116">
        <v>38</v>
      </c>
      <c r="B119" s="248" t="str">
        <f>'[13]Schools List'!$E73</f>
        <v>Meersbrook Bank Primary School</v>
      </c>
      <c r="C119" s="301">
        <v>38</v>
      </c>
      <c r="D119" s="249" t="str">
        <f t="shared" si="11"/>
        <v>72081</v>
      </c>
      <c r="E119" s="250">
        <f>'[13]Schools List'!$D73</f>
        <v>2081</v>
      </c>
      <c r="F119" s="250">
        <f>'[13]Schools List'!$C73</f>
        <v>0</v>
      </c>
      <c r="G119" s="251">
        <f>'[13]Schools List'!$G73</f>
        <v>0</v>
      </c>
      <c r="H119" s="99"/>
      <c r="K119" s="297"/>
      <c r="M119" s="99"/>
    </row>
    <row r="120" spans="1:13" ht="12.5" hidden="1" outlineLevel="1" x14ac:dyDescent="0.25">
      <c r="A120" s="116">
        <v>39</v>
      </c>
      <c r="B120" s="248" t="str">
        <f>'[13]Schools List'!$E76</f>
        <v>Mosborough Primary School</v>
      </c>
      <c r="C120" s="301">
        <v>39</v>
      </c>
      <c r="D120" s="249" t="str">
        <f t="shared" si="11"/>
        <v>72257</v>
      </c>
      <c r="E120" s="250">
        <f>'[13]Schools List'!$D76</f>
        <v>2257</v>
      </c>
      <c r="F120" s="250">
        <f>'[13]Schools List'!$C76</f>
        <v>0</v>
      </c>
      <c r="G120" s="251">
        <f>'[13]Schools List'!$G76</f>
        <v>0</v>
      </c>
      <c r="H120" s="99"/>
      <c r="K120" s="297"/>
      <c r="M120" s="99"/>
    </row>
    <row r="121" spans="1:13" ht="12.5" hidden="1" outlineLevel="1" x14ac:dyDescent="0.25">
      <c r="A121" s="116">
        <v>40</v>
      </c>
      <c r="B121" s="248" t="str">
        <f>'[13]Schools List'!$E77</f>
        <v>Mundella Primary School</v>
      </c>
      <c r="C121" s="301">
        <v>40</v>
      </c>
      <c r="D121" s="249" t="str">
        <f t="shared" si="11"/>
        <v>72092</v>
      </c>
      <c r="E121" s="250">
        <f>'[13]Schools List'!$D77</f>
        <v>2092</v>
      </c>
      <c r="F121" s="250">
        <f>'[13]Schools List'!$C77</f>
        <v>0</v>
      </c>
      <c r="G121" s="251">
        <f>'[13]Schools List'!$G77</f>
        <v>0</v>
      </c>
      <c r="H121" s="99"/>
      <c r="K121" s="297"/>
      <c r="M121" s="99"/>
    </row>
    <row r="122" spans="1:13" ht="12.5" hidden="1" outlineLevel="1" x14ac:dyDescent="0.25">
      <c r="A122" s="116">
        <v>41</v>
      </c>
      <c r="B122" s="248" t="str">
        <f>'[13]Schools List'!$E79</f>
        <v>Nether Green Infant School</v>
      </c>
      <c r="C122" s="301">
        <v>41</v>
      </c>
      <c r="D122" s="249" t="str">
        <f t="shared" si="11"/>
        <v>72221</v>
      </c>
      <c r="E122" s="250">
        <f>'[13]Schools List'!$D79</f>
        <v>2221</v>
      </c>
      <c r="F122" s="250">
        <f>'[13]Schools List'!$C79</f>
        <v>0</v>
      </c>
      <c r="G122" s="251">
        <f>'[13]Schools List'!$G79</f>
        <v>0</v>
      </c>
      <c r="H122" s="99"/>
      <c r="K122" s="297"/>
      <c r="M122" s="99"/>
    </row>
    <row r="123" spans="1:13" ht="12.5" hidden="1" outlineLevel="1" x14ac:dyDescent="0.25">
      <c r="A123" s="116">
        <v>42</v>
      </c>
      <c r="B123" s="248" t="str">
        <f>'[13]Schools List'!$E80</f>
        <v>Nether Green Junior School</v>
      </c>
      <c r="C123" s="301">
        <v>42</v>
      </c>
      <c r="D123" s="249" t="str">
        <f t="shared" si="11"/>
        <v>72087</v>
      </c>
      <c r="E123" s="250">
        <f>'[13]Schools List'!$D80</f>
        <v>2087</v>
      </c>
      <c r="F123" s="250">
        <f>'[13]Schools List'!$C80</f>
        <v>0</v>
      </c>
      <c r="G123" s="251">
        <f>'[13]Schools List'!$G80</f>
        <v>0</v>
      </c>
      <c r="H123" s="99"/>
      <c r="K123" s="297"/>
      <c r="M123" s="99"/>
    </row>
    <row r="124" spans="1:13" ht="12.5" hidden="1" outlineLevel="1" x14ac:dyDescent="0.25">
      <c r="A124" s="116">
        <v>43</v>
      </c>
      <c r="B124" s="248" t="str">
        <f>'[13]Schools List'!$E81</f>
        <v>Netherthorpe Primary School</v>
      </c>
      <c r="C124" s="301">
        <v>43</v>
      </c>
      <c r="D124" s="249" t="str">
        <f t="shared" si="11"/>
        <v>72272</v>
      </c>
      <c r="E124" s="250">
        <f>'[13]Schools List'!$D81</f>
        <v>2272</v>
      </c>
      <c r="F124" s="250">
        <f>'[13]Schools List'!$C81</f>
        <v>0</v>
      </c>
      <c r="G124" s="251">
        <f>'[13]Schools List'!$G81</f>
        <v>0</v>
      </c>
      <c r="H124" s="99"/>
      <c r="M124" s="99"/>
    </row>
    <row r="125" spans="1:13" ht="12.5" hidden="1" customHeight="1" outlineLevel="1" x14ac:dyDescent="0.3">
      <c r="A125" s="116">
        <v>44</v>
      </c>
      <c r="B125" s="248" t="str">
        <f>'[13]Schools List'!$E84</f>
        <v>Norton Free Church of England Primary School</v>
      </c>
      <c r="C125" s="301">
        <v>44</v>
      </c>
      <c r="D125" s="249" t="str">
        <f t="shared" si="11"/>
        <v>73010</v>
      </c>
      <c r="E125" s="250">
        <f>'[13]Schools List'!$D84</f>
        <v>3010</v>
      </c>
      <c r="F125" s="250">
        <f>'[13]Schools List'!$C84</f>
        <v>0</v>
      </c>
      <c r="G125" s="251">
        <f>'[13]Schools List'!$G84</f>
        <v>0</v>
      </c>
      <c r="H125" s="99"/>
    </row>
    <row r="126" spans="1:13" ht="12.5" hidden="1" customHeight="1" outlineLevel="1" x14ac:dyDescent="0.3">
      <c r="A126" s="116">
        <v>45</v>
      </c>
      <c r="B126" s="248" t="str">
        <f>'[13]Schools List'!$E89</f>
        <v>Parson Cross Church of England Primary School</v>
      </c>
      <c r="C126" s="301">
        <v>45</v>
      </c>
      <c r="D126" s="249" t="str">
        <f t="shared" si="11"/>
        <v>73428</v>
      </c>
      <c r="E126" s="250">
        <f>'[13]Schools List'!$D89</f>
        <v>3428</v>
      </c>
      <c r="F126" s="250">
        <f>'[13]Schools List'!$C89</f>
        <v>0</v>
      </c>
      <c r="G126" s="251">
        <f>'[13]Schools List'!$G89</f>
        <v>0</v>
      </c>
      <c r="H126" s="99"/>
    </row>
    <row r="127" spans="1:13" ht="12.5" hidden="1" customHeight="1" outlineLevel="1" x14ac:dyDescent="0.3">
      <c r="A127" s="116">
        <v>46</v>
      </c>
      <c r="B127" s="248" t="str">
        <f>'[13]Schools List'!$E91</f>
        <v>Pipworth Community Primary School</v>
      </c>
      <c r="C127" s="301">
        <v>46</v>
      </c>
      <c r="D127" s="249" t="str">
        <f t="shared" si="11"/>
        <v>73433</v>
      </c>
      <c r="E127" s="250">
        <f>'[13]Schools List'!$D91</f>
        <v>3433</v>
      </c>
      <c r="F127" s="250">
        <f>'[13]Schools List'!$C91</f>
        <v>0</v>
      </c>
      <c r="G127" s="251">
        <f>'[13]Schools List'!$G91</f>
        <v>0</v>
      </c>
      <c r="H127" s="99"/>
    </row>
    <row r="128" spans="1:13" ht="12.5" hidden="1" customHeight="1" outlineLevel="1" x14ac:dyDescent="0.3">
      <c r="A128" s="116">
        <v>47</v>
      </c>
      <c r="B128" s="248" t="str">
        <f>'[13]Schools List'!$E93</f>
        <v>Prince Edward Primary School</v>
      </c>
      <c r="C128" s="301">
        <v>47</v>
      </c>
      <c r="D128" s="249" t="str">
        <f t="shared" si="11"/>
        <v>72347</v>
      </c>
      <c r="E128" s="250">
        <f>'[13]Schools List'!$D93</f>
        <v>2347</v>
      </c>
      <c r="F128" s="250">
        <f>'[13]Schools List'!$C93</f>
        <v>0</v>
      </c>
      <c r="G128" s="251">
        <f>'[13]Schools List'!$G93</f>
        <v>0</v>
      </c>
      <c r="H128" s="99"/>
    </row>
    <row r="129" spans="1:8" ht="12.5" hidden="1" customHeight="1" outlineLevel="1" x14ac:dyDescent="0.3">
      <c r="A129" s="116">
        <v>48</v>
      </c>
      <c r="B129" s="248" t="str">
        <f>'[13]Schools List'!$E96</f>
        <v>Reignhead Primary School</v>
      </c>
      <c r="C129" s="301">
        <v>48</v>
      </c>
      <c r="D129" s="249" t="str">
        <f t="shared" si="11"/>
        <v>72334</v>
      </c>
      <c r="E129" s="250">
        <f>'[13]Schools List'!$D96</f>
        <v>2334</v>
      </c>
      <c r="F129" s="250">
        <f>'[13]Schools List'!$C96</f>
        <v>0</v>
      </c>
      <c r="G129" s="251">
        <f>'[13]Schools List'!$G96</f>
        <v>0</v>
      </c>
      <c r="H129" s="99"/>
    </row>
    <row r="130" spans="1:8" ht="12.5" hidden="1" customHeight="1" outlineLevel="1" x14ac:dyDescent="0.3">
      <c r="A130" s="116">
        <v>49</v>
      </c>
      <c r="B130" s="248" t="str">
        <f>'[13]Schools List'!$E97</f>
        <v>Rivelin Primary School</v>
      </c>
      <c r="C130" s="301">
        <v>49</v>
      </c>
      <c r="D130" s="249" t="str">
        <f t="shared" si="11"/>
        <v>72338</v>
      </c>
      <c r="E130" s="250">
        <f>'[13]Schools List'!$D97</f>
        <v>2338</v>
      </c>
      <c r="F130" s="250">
        <f>'[13]Schools List'!$C97</f>
        <v>0</v>
      </c>
      <c r="G130" s="251">
        <f>'[13]Schools List'!$G97</f>
        <v>0</v>
      </c>
      <c r="H130" s="99"/>
    </row>
    <row r="131" spans="1:8" ht="12.5" hidden="1" customHeight="1" outlineLevel="1" x14ac:dyDescent="0.3">
      <c r="A131" s="116">
        <v>50</v>
      </c>
      <c r="B131" s="248" t="str">
        <f>'[13]Schools List'!$E98</f>
        <v>Royd Nursery and Infant School</v>
      </c>
      <c r="C131" s="301">
        <v>50</v>
      </c>
      <c r="D131" s="249" t="str">
        <f t="shared" si="11"/>
        <v>72306</v>
      </c>
      <c r="E131" s="250">
        <f>'[13]Schools List'!$D98</f>
        <v>2306</v>
      </c>
      <c r="F131" s="250">
        <f>'[13]Schools List'!$C98</f>
        <v>0</v>
      </c>
      <c r="G131" s="251">
        <f>'[13]Schools List'!$G98</f>
        <v>0</v>
      </c>
      <c r="H131" s="99"/>
    </row>
    <row r="132" spans="1:8" ht="12.5" hidden="1" customHeight="1" outlineLevel="1" x14ac:dyDescent="0.3">
      <c r="A132" s="116">
        <v>51</v>
      </c>
      <c r="B132" s="248" t="str">
        <f>'[13]Schools List'!$E100</f>
        <v>Sharrow Nursery, Infant and Junior School</v>
      </c>
      <c r="C132" s="301">
        <v>51</v>
      </c>
      <c r="D132" s="249" t="str">
        <f t="shared" si="11"/>
        <v>72369</v>
      </c>
      <c r="E132" s="250">
        <f>'[13]Schools List'!$D100</f>
        <v>2369</v>
      </c>
      <c r="F132" s="250">
        <f>'[13]Schools List'!$C100</f>
        <v>0</v>
      </c>
      <c r="G132" s="251">
        <f>'[13]Schools List'!$G100</f>
        <v>0</v>
      </c>
      <c r="H132" s="99"/>
    </row>
    <row r="133" spans="1:8" ht="12.5" hidden="1" customHeight="1" outlineLevel="1" x14ac:dyDescent="0.3">
      <c r="A133" s="116">
        <v>52</v>
      </c>
      <c r="B133" s="248" t="str">
        <f>'[13]Schools List'!$E101</f>
        <v>Shooter's Grove Primary School</v>
      </c>
      <c r="C133" s="301">
        <v>52</v>
      </c>
      <c r="D133" s="249" t="str">
        <f t="shared" si="11"/>
        <v>72349</v>
      </c>
      <c r="E133" s="250">
        <f>'[13]Schools List'!$D101</f>
        <v>2349</v>
      </c>
      <c r="F133" s="250">
        <f>'[13]Schools List'!$C101</f>
        <v>0</v>
      </c>
      <c r="G133" s="251">
        <f>'[13]Schools List'!$G101</f>
        <v>0</v>
      </c>
      <c r="H133" s="99"/>
    </row>
    <row r="134" spans="1:8" ht="12.5" hidden="1" customHeight="1" outlineLevel="1" x14ac:dyDescent="0.3">
      <c r="A134" s="116">
        <v>53</v>
      </c>
      <c r="B134" s="248" t="str">
        <f>'[13]Schools List'!$E102</f>
        <v>Shortbrook Primary School</v>
      </c>
      <c r="C134" s="301">
        <v>53</v>
      </c>
      <c r="D134" s="249" t="str">
        <f t="shared" si="11"/>
        <v>72360</v>
      </c>
      <c r="E134" s="250">
        <f>'[13]Schools List'!$D102</f>
        <v>2360</v>
      </c>
      <c r="F134" s="250">
        <f>'[13]Schools List'!$C102</f>
        <v>0</v>
      </c>
      <c r="G134" s="251">
        <f>'[13]Schools List'!$G102</f>
        <v>0</v>
      </c>
      <c r="H134" s="99"/>
    </row>
    <row r="135" spans="1:8" ht="12.5" hidden="1" customHeight="1" outlineLevel="1" x14ac:dyDescent="0.3">
      <c r="A135" s="116">
        <v>54</v>
      </c>
      <c r="B135" s="248" t="str">
        <f>'[13]Schools List'!$E104</f>
        <v>Springfield Primary School</v>
      </c>
      <c r="C135" s="301">
        <v>54</v>
      </c>
      <c r="D135" s="249" t="str">
        <f t="shared" si="11"/>
        <v>72329</v>
      </c>
      <c r="E135" s="250">
        <f>'[13]Schools List'!$D104</f>
        <v>2329</v>
      </c>
      <c r="F135" s="250">
        <f>'[13]Schools List'!$C104</f>
        <v>0</v>
      </c>
      <c r="G135" s="251">
        <f>'[13]Schools List'!$G104</f>
        <v>0</v>
      </c>
      <c r="H135" s="99"/>
    </row>
    <row r="136" spans="1:8" ht="12.5" hidden="1" customHeight="1" outlineLevel="1" x14ac:dyDescent="0.3">
      <c r="A136" s="116">
        <v>55</v>
      </c>
      <c r="B136" s="248" t="str">
        <f>'[13]Schools List'!$E113</f>
        <v>St Theresa's Catholic Primary School</v>
      </c>
      <c r="C136" s="301">
        <v>55</v>
      </c>
      <c r="D136" s="249" t="str">
        <f t="shared" si="11"/>
        <v>75208</v>
      </c>
      <c r="E136" s="250">
        <f>'[13]Schools List'!$D113</f>
        <v>5208</v>
      </c>
      <c r="F136" s="250">
        <f>'[13]Schools List'!$C113</f>
        <v>0</v>
      </c>
      <c r="G136" s="251">
        <f>'[13]Schools List'!$G113</f>
        <v>0</v>
      </c>
      <c r="H136" s="99"/>
    </row>
    <row r="137" spans="1:8" ht="12.5" hidden="1" customHeight="1" outlineLevel="1" x14ac:dyDescent="0.3">
      <c r="A137" s="116">
        <v>56</v>
      </c>
      <c r="B137" s="248" t="str">
        <f>'[13]Schools List'!$E118</f>
        <v>Stocksbridge Junior School</v>
      </c>
      <c r="C137" s="301">
        <v>56</v>
      </c>
      <c r="D137" s="249" t="str">
        <f t="shared" si="11"/>
        <v>72303</v>
      </c>
      <c r="E137" s="250">
        <f>'[13]Schools List'!$D118</f>
        <v>2303</v>
      </c>
      <c r="F137" s="250">
        <f>'[13]Schools List'!$C118</f>
        <v>0</v>
      </c>
      <c r="G137" s="251">
        <f>'[13]Schools List'!$G118</f>
        <v>0</v>
      </c>
      <c r="H137" s="99"/>
    </row>
    <row r="138" spans="1:8" ht="12.5" hidden="1" customHeight="1" outlineLevel="1" x14ac:dyDescent="0.3">
      <c r="A138" s="116">
        <v>57</v>
      </c>
      <c r="B138" s="248" t="str">
        <f>'[13]Schools List'!$E120</f>
        <v>Stradbroke Primary School</v>
      </c>
      <c r="C138" s="301">
        <v>57</v>
      </c>
      <c r="D138" s="249" t="str">
        <f t="shared" si="11"/>
        <v>72350</v>
      </c>
      <c r="E138" s="250">
        <f>'[13]Schools List'!$D120</f>
        <v>2350</v>
      </c>
      <c r="F138" s="250">
        <f>'[13]Schools List'!$C120</f>
        <v>0</v>
      </c>
      <c r="G138" s="251">
        <f>'[13]Schools List'!$G120</f>
        <v>0</v>
      </c>
      <c r="H138" s="99"/>
    </row>
    <row r="139" spans="1:8" ht="12.5" hidden="1" customHeight="1" outlineLevel="1" x14ac:dyDescent="0.3">
      <c r="A139" s="116">
        <v>58</v>
      </c>
      <c r="B139" s="248" t="str">
        <f>'[13]Schools List'!$E124</f>
        <v>Walkley Primary School</v>
      </c>
      <c r="C139" s="301">
        <v>58</v>
      </c>
      <c r="D139" s="249" t="str">
        <f t="shared" si="11"/>
        <v>72351</v>
      </c>
      <c r="E139" s="250">
        <f>'[13]Schools List'!$D124</f>
        <v>2351</v>
      </c>
      <c r="F139" s="250">
        <f>'[13]Schools List'!$C124</f>
        <v>0</v>
      </c>
      <c r="G139" s="251">
        <f>'[13]Schools List'!$G124</f>
        <v>0</v>
      </c>
      <c r="H139" s="99"/>
    </row>
    <row r="140" spans="1:8" ht="12.5" hidden="1" customHeight="1" outlineLevel="1" x14ac:dyDescent="0.3">
      <c r="A140" s="116">
        <v>59</v>
      </c>
      <c r="B140" s="248" t="str">
        <f>'[13]Schools List'!$E125</f>
        <v>Watercliffe Meadow Community Primary School</v>
      </c>
      <c r="C140" s="301">
        <v>59</v>
      </c>
      <c r="D140" s="249" t="str">
        <f t="shared" si="11"/>
        <v>73432</v>
      </c>
      <c r="E140" s="250">
        <f>'[13]Schools List'!$D125</f>
        <v>3432</v>
      </c>
      <c r="F140" s="250">
        <f>'[13]Schools List'!$C125</f>
        <v>0</v>
      </c>
      <c r="G140" s="251">
        <f>'[13]Schools List'!$G125</f>
        <v>0</v>
      </c>
      <c r="H140" s="99"/>
    </row>
    <row r="141" spans="1:8" ht="12.5" hidden="1" customHeight="1" outlineLevel="1" x14ac:dyDescent="0.3">
      <c r="A141" s="116">
        <v>60</v>
      </c>
      <c r="B141" s="248" t="str">
        <f>'[13]Schools List'!$E126</f>
        <v>Waterthorpe Infant School</v>
      </c>
      <c r="C141" s="301">
        <v>60</v>
      </c>
      <c r="D141" s="249" t="str">
        <f t="shared" si="11"/>
        <v>72319</v>
      </c>
      <c r="E141" s="250">
        <f>'[13]Schools List'!$D126</f>
        <v>2319</v>
      </c>
      <c r="F141" s="250">
        <f>'[13]Schools List'!$C126</f>
        <v>0</v>
      </c>
      <c r="G141" s="251">
        <f>'[13]Schools List'!$G126</f>
        <v>0</v>
      </c>
      <c r="H141" s="99"/>
    </row>
    <row r="142" spans="1:8" ht="12.5" hidden="1" customHeight="1" outlineLevel="1" x14ac:dyDescent="0.3">
      <c r="A142" s="116">
        <v>61</v>
      </c>
      <c r="B142" s="248" t="str">
        <f>'[13]Schools List'!$E127</f>
        <v>Westways Primary School</v>
      </c>
      <c r="C142" s="301">
        <v>61</v>
      </c>
      <c r="D142" s="249" t="str">
        <f t="shared" si="11"/>
        <v>72352</v>
      </c>
      <c r="E142" s="250">
        <f>'[13]Schools List'!$D127</f>
        <v>2352</v>
      </c>
      <c r="F142" s="250">
        <f>'[13]Schools List'!$C127</f>
        <v>0</v>
      </c>
      <c r="G142" s="251">
        <f>'[13]Schools List'!$G127</f>
        <v>0</v>
      </c>
      <c r="H142" s="99"/>
    </row>
    <row r="143" spans="1:8" collapsed="1" x14ac:dyDescent="0.3">
      <c r="B143" s="248"/>
    </row>
  </sheetData>
  <sheetProtection selectLockedCells="1" selectUnlockedCells="1"/>
  <sortState xmlns:xlrd2="http://schemas.microsoft.com/office/spreadsheetml/2017/richdata2" ref="A82:U142">
    <sortCondition ref="G82:G142"/>
  </sortState>
  <mergeCells count="2">
    <mergeCell ref="I1:J2"/>
    <mergeCell ref="B26:B30"/>
  </mergeCells>
  <conditionalFormatting sqref="P15 N76 O48:P48 O56:P58 O53:P53 P55 N68:N70 M16:M48 N59:N65 N52">
    <cfRule type="cellIs" dxfId="16" priority="3" stopIfTrue="1" operator="equal">
      <formula>TRUE</formula>
    </cfRule>
  </conditionalFormatting>
  <conditionalFormatting sqref="N48 N53">
    <cfRule type="cellIs" dxfId="15" priority="1" stopIfTrue="1" operator="equal">
      <formula>TRUE</formula>
    </cfRule>
  </conditionalFormatting>
  <hyperlinks>
    <hyperlink ref="I1:J2" location="Instructions!C17" tooltip="Link to Instructions" display="Back to Main Menu" xr:uid="{00000000-0004-0000-0500-000000000000}"/>
  </hyperlinks>
  <pageMargins left="0.19685039370078741" right="0.15748031496062992" top="0.23622047244094491" bottom="0.39370078740157483" header="0.19685039370078741" footer="0.15748031496062992"/>
  <pageSetup paperSize="9" scale="73" orientation="portrait" horizontalDpi="1200" verticalDpi="1200" r:id="rId1"/>
  <headerFooter alignWithMargins="0">
    <oddFooter>&amp;LFor queries please contact:  Jacky.Beatson@sheffield.gov.uk&amp;R&amp;D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8" r:id="rId4" name="Drop Down 4">
              <controlPr defaultSize="0" print="0" autoLine="0" autoPict="0" altText="Drop down list of Maintained Primary Schools">
                <anchor moveWithCells="1">
                  <from>
                    <xdr:col>1</xdr:col>
                    <xdr:colOff>69850</xdr:colOff>
                    <xdr:row>1</xdr:row>
                    <xdr:rowOff>31750</xdr:rowOff>
                  </from>
                  <to>
                    <xdr:col>3</xdr:col>
                    <xdr:colOff>146050</xdr:colOff>
                    <xdr:row>2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tabColor indexed="40"/>
    <pageSetUpPr fitToPage="1"/>
  </sheetPr>
  <dimension ref="A1:U84"/>
  <sheetViews>
    <sheetView showGridLines="0" showRowColHeader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Y2" sqref="Y2"/>
    </sheetView>
  </sheetViews>
  <sheetFormatPr defaultColWidth="10.6328125" defaultRowHeight="13" outlineLevelRow="1" outlineLevelCol="1" x14ac:dyDescent="0.3"/>
  <cols>
    <col min="1" max="1" width="7.6328125" style="116" bestFit="1" customWidth="1"/>
    <col min="2" max="2" width="29.1796875" style="99" customWidth="1"/>
    <col min="3" max="3" width="14.6328125" style="99" customWidth="1"/>
    <col min="4" max="7" width="10.453125" style="99" customWidth="1"/>
    <col min="8" max="8" width="11.54296875" style="98" bestFit="1" customWidth="1"/>
    <col min="9" max="9" width="11.36328125" style="243" customWidth="1"/>
    <col min="10" max="10" width="10.6328125" style="99" customWidth="1"/>
    <col min="11" max="11" width="10.6328125" style="99" bestFit="1" customWidth="1"/>
    <col min="12" max="12" width="1.36328125" style="99" customWidth="1"/>
    <col min="13" max="13" width="16.90625" style="99" hidden="1" customWidth="1" outlineLevel="1"/>
    <col min="14" max="14" width="4.36328125" style="99" hidden="1" customWidth="1" outlineLevel="1"/>
    <col min="15" max="15" width="4.6328125" style="254" hidden="1" customWidth="1" outlineLevel="1"/>
    <col min="16" max="16" width="0.36328125" style="99" hidden="1" customWidth="1" outlineLevel="1"/>
    <col min="17" max="17" width="8" style="99" hidden="1" customWidth="1" outlineLevel="1"/>
    <col min="18" max="18" width="6.6328125" style="99" hidden="1" customWidth="1" outlineLevel="1"/>
    <col min="19" max="19" width="4.453125" style="99" hidden="1" customWidth="1" outlineLevel="1"/>
    <col min="20" max="20" width="11.453125" style="99" bestFit="1" customWidth="1" collapsed="1"/>
    <col min="21" max="16384" width="10.6328125" style="99"/>
  </cols>
  <sheetData>
    <row r="1" spans="1:20" ht="22.5" customHeight="1" x14ac:dyDescent="0.45">
      <c r="B1" s="253" t="s">
        <v>463</v>
      </c>
      <c r="C1" s="253"/>
      <c r="D1" s="253"/>
      <c r="E1" s="253"/>
      <c r="F1" s="253"/>
      <c r="G1" s="253"/>
      <c r="J1" s="756" t="s">
        <v>76</v>
      </c>
      <c r="K1" s="757"/>
    </row>
    <row r="2" spans="1:20" ht="24" customHeight="1" thickBot="1" x14ac:dyDescent="0.35">
      <c r="J2" s="758"/>
      <c r="K2" s="759"/>
    </row>
    <row r="3" spans="1:20" ht="24" customHeight="1" x14ac:dyDescent="0.45">
      <c r="B3" s="253" t="str">
        <f>VLOOKUP(B4,A80:B80,2,FALSE)</f>
        <v>King Edward VII School</v>
      </c>
      <c r="J3" s="136"/>
      <c r="K3" s="223">
        <f>VLOOKUP(I5,E80:G80,3,FALSE)</f>
        <v>0</v>
      </c>
    </row>
    <row r="4" spans="1:20" s="259" customFormat="1" ht="12.5" x14ac:dyDescent="0.25">
      <c r="A4" s="255"/>
      <c r="B4" s="185">
        <v>1</v>
      </c>
      <c r="C4" s="256"/>
      <c r="D4" s="256"/>
      <c r="E4" s="256"/>
      <c r="F4" s="257"/>
      <c r="G4" s="258"/>
      <c r="H4" s="409"/>
      <c r="I4" s="351" t="str">
        <f>373&amp;I5</f>
        <v>3734259</v>
      </c>
      <c r="M4" s="467"/>
      <c r="N4" s="467"/>
      <c r="O4" s="467"/>
      <c r="P4" s="467"/>
      <c r="Q4" s="467"/>
      <c r="R4" s="467"/>
    </row>
    <row r="5" spans="1:20" ht="13" hidden="1" customHeight="1" outlineLevel="1" x14ac:dyDescent="0.3">
      <c r="A5" s="261"/>
      <c r="B5" s="390"/>
      <c r="C5" s="390"/>
      <c r="D5" s="390"/>
      <c r="E5" s="390"/>
      <c r="F5" s="390"/>
      <c r="G5" s="390"/>
      <c r="H5" s="263" t="str">
        <f>VLOOKUP(B4,C80:D80,2,FALSE)</f>
        <v>74259</v>
      </c>
      <c r="I5" s="264">
        <f>VLOOKUP(H5,D80:E80,2,FALSE)</f>
        <v>4259</v>
      </c>
      <c r="J5" s="391">
        <f>IF(VLOOKUP(I5,E80:F80,2,FALSE)=0,I5,VLOOKUP(I5,E80:F80,2,FALSE))</f>
        <v>4259</v>
      </c>
      <c r="K5" s="392" t="str">
        <f>7&amp;J5</f>
        <v>74259</v>
      </c>
      <c r="L5" s="386">
        <f>H5-K5</f>
        <v>0</v>
      </c>
      <c r="M5" s="148"/>
      <c r="N5" s="148"/>
      <c r="O5" s="467"/>
      <c r="P5" s="467"/>
      <c r="Q5" s="467"/>
      <c r="R5" s="467"/>
    </row>
    <row r="6" spans="1:20" collapsed="1" x14ac:dyDescent="0.3">
      <c r="A6" s="221"/>
      <c r="B6" s="329" t="s">
        <v>0</v>
      </c>
      <c r="C6" s="329"/>
      <c r="D6" s="329"/>
      <c r="E6" s="329"/>
      <c r="F6" s="329"/>
      <c r="G6" s="330"/>
      <c r="H6" s="470" t="s">
        <v>1</v>
      </c>
      <c r="I6" s="469" t="s">
        <v>1</v>
      </c>
      <c r="J6" s="473" t="s">
        <v>2</v>
      </c>
      <c r="K6" s="474" t="s">
        <v>2</v>
      </c>
      <c r="M6" s="149"/>
      <c r="N6" s="149"/>
      <c r="O6" s="153"/>
      <c r="P6" s="150"/>
      <c r="Q6" s="150"/>
      <c r="R6" s="100"/>
    </row>
    <row r="7" spans="1:20" x14ac:dyDescent="0.3">
      <c r="A7" s="221"/>
      <c r="B7" s="331"/>
      <c r="C7" s="331"/>
      <c r="D7" s="331"/>
      <c r="E7" s="331"/>
      <c r="F7" s="331"/>
      <c r="G7" s="332"/>
      <c r="H7" s="302" t="s">
        <v>377</v>
      </c>
      <c r="I7" s="339" t="s">
        <v>420</v>
      </c>
      <c r="J7" s="339" t="s">
        <v>3</v>
      </c>
      <c r="K7" s="339" t="s">
        <v>4</v>
      </c>
      <c r="M7" s="150"/>
      <c r="N7" s="150"/>
      <c r="O7" s="155"/>
      <c r="P7" s="151"/>
      <c r="Q7" s="150"/>
      <c r="R7" s="100"/>
    </row>
    <row r="8" spans="1:20" x14ac:dyDescent="0.3">
      <c r="A8" s="268"/>
      <c r="B8" s="118" t="s">
        <v>223</v>
      </c>
      <c r="C8" s="118"/>
      <c r="D8" s="118"/>
      <c r="E8" s="118"/>
      <c r="F8" s="118"/>
      <c r="G8" s="333"/>
      <c r="H8" s="44">
        <f>VLOOKUP($I$5,[12]AWPU!$E:$I,3,FALSE)</f>
        <v>686</v>
      </c>
      <c r="I8" s="44">
        <f>VLOOKUP($I$5,[13]AWPU!$E:$I,3,FALSE)</f>
        <v>684</v>
      </c>
      <c r="J8" s="44">
        <f t="shared" ref="J8:J11" si="0">I8-H8</f>
        <v>-2</v>
      </c>
      <c r="K8" s="184">
        <f>(J8/H8)*100</f>
        <v>-0.29154518950437319</v>
      </c>
      <c r="M8" s="152"/>
      <c r="N8" s="150"/>
      <c r="O8" s="156"/>
      <c r="P8" s="150"/>
      <c r="Q8" s="150"/>
      <c r="R8" s="100"/>
    </row>
    <row r="9" spans="1:20" x14ac:dyDescent="0.3">
      <c r="A9" s="268"/>
      <c r="B9" s="118" t="s">
        <v>224</v>
      </c>
      <c r="C9" s="118"/>
      <c r="D9" s="118"/>
      <c r="E9" s="118"/>
      <c r="F9" s="118"/>
      <c r="G9" s="333"/>
      <c r="H9" s="44">
        <f>VLOOKUP($I$5,[12]AWPU!$E:$I,4,FALSE)</f>
        <v>449</v>
      </c>
      <c r="I9" s="44">
        <f>VLOOKUP($I$5,[13]AWPU!$E:$I,4,FALSE)</f>
        <v>457</v>
      </c>
      <c r="J9" s="44">
        <f t="shared" ref="J9:J10" si="1">I9-H9</f>
        <v>8</v>
      </c>
      <c r="K9" s="184">
        <f>(J9/H9)*100</f>
        <v>1.7817371937639197</v>
      </c>
      <c r="M9" s="152"/>
      <c r="N9" s="150"/>
      <c r="O9" s="156"/>
      <c r="P9" s="150"/>
      <c r="Q9" s="150"/>
      <c r="R9" s="100"/>
    </row>
    <row r="10" spans="1:20" x14ac:dyDescent="0.3">
      <c r="A10" s="268"/>
      <c r="B10" s="118" t="s">
        <v>191</v>
      </c>
      <c r="C10" s="118"/>
      <c r="D10" s="118"/>
      <c r="E10" s="118"/>
      <c r="F10" s="118"/>
      <c r="G10" s="333"/>
      <c r="H10" s="328">
        <f>IFERROR(VLOOKUP(I5,'IR 22-23'!B:E,4,FALSE),0)</f>
        <v>0</v>
      </c>
      <c r="I10" s="328">
        <f>IFERROR(VLOOKUP(I5,'IR Budget 2023-24'!C:G,4,FALSE),0)</f>
        <v>0</v>
      </c>
      <c r="J10" s="393">
        <f t="shared" si="1"/>
        <v>0</v>
      </c>
      <c r="K10" s="184" t="str">
        <f>IF(P10=TRUE,"n/a",IF(H10=0,"n/a",(J10/H10)*100))</f>
        <v>n/a</v>
      </c>
      <c r="M10" s="152"/>
      <c r="N10" s="150"/>
      <c r="O10" s="156"/>
      <c r="P10" s="150"/>
      <c r="Q10" s="150"/>
      <c r="R10" s="100"/>
    </row>
    <row r="11" spans="1:20" x14ac:dyDescent="0.3">
      <c r="A11" s="221" t="s">
        <v>13</v>
      </c>
      <c r="B11" s="334" t="s">
        <v>5</v>
      </c>
      <c r="C11" s="334"/>
      <c r="D11" s="334"/>
      <c r="E11" s="334"/>
      <c r="F11" s="334"/>
      <c r="G11" s="299"/>
      <c r="H11" s="406">
        <f>SUM(H8:H9)</f>
        <v>1135</v>
      </c>
      <c r="I11" s="338">
        <f>SUM(I8:I9)</f>
        <v>1141</v>
      </c>
      <c r="J11" s="407">
        <f t="shared" si="0"/>
        <v>6</v>
      </c>
      <c r="K11" s="408">
        <f>(J11/H11)*100</f>
        <v>0.52863436123348018</v>
      </c>
      <c r="M11" s="149"/>
      <c r="N11" s="149"/>
      <c r="O11" s="153"/>
      <c r="P11" s="150"/>
      <c r="Q11" s="150"/>
      <c r="R11" s="100"/>
    </row>
    <row r="12" spans="1:20" x14ac:dyDescent="0.3">
      <c r="A12" s="221" t="s">
        <v>14</v>
      </c>
      <c r="B12" s="118"/>
      <c r="C12" s="298"/>
      <c r="D12" s="468" t="s">
        <v>377</v>
      </c>
      <c r="E12" s="468" t="s">
        <v>377</v>
      </c>
      <c r="F12" s="491" t="s">
        <v>420</v>
      </c>
      <c r="G12" s="491" t="s">
        <v>420</v>
      </c>
      <c r="H12" s="475" t="s">
        <v>6</v>
      </c>
      <c r="I12" s="476" t="s">
        <v>6</v>
      </c>
      <c r="J12" s="475" t="s">
        <v>2</v>
      </c>
      <c r="K12" s="476" t="s">
        <v>2</v>
      </c>
      <c r="M12" s="152"/>
      <c r="N12" s="152"/>
      <c r="O12" s="156"/>
      <c r="P12" s="151"/>
      <c r="Q12" s="150"/>
      <c r="R12" s="100"/>
    </row>
    <row r="13" spans="1:20" x14ac:dyDescent="0.3">
      <c r="A13" s="221" t="s">
        <v>6</v>
      </c>
      <c r="B13" s="299" t="s">
        <v>12</v>
      </c>
      <c r="C13" s="300" t="s">
        <v>59</v>
      </c>
      <c r="D13" s="305" t="s">
        <v>66</v>
      </c>
      <c r="E13" s="306" t="s">
        <v>67</v>
      </c>
      <c r="F13" s="303" t="s">
        <v>66</v>
      </c>
      <c r="G13" s="304" t="s">
        <v>67</v>
      </c>
      <c r="H13" s="302" t="s">
        <v>361</v>
      </c>
      <c r="I13" s="339" t="s">
        <v>377</v>
      </c>
      <c r="J13" s="302" t="s">
        <v>8</v>
      </c>
      <c r="K13" s="302" t="s">
        <v>4</v>
      </c>
      <c r="M13" s="152"/>
      <c r="N13" s="152"/>
      <c r="O13" s="156"/>
      <c r="P13" s="151"/>
      <c r="Q13" s="150"/>
      <c r="R13" s="100"/>
    </row>
    <row r="14" spans="1:20" s="144" customFormat="1" ht="12" customHeight="1" x14ac:dyDescent="0.3">
      <c r="A14" s="221" t="s">
        <v>7</v>
      </c>
      <c r="B14" s="127"/>
      <c r="C14" s="127"/>
      <c r="D14" s="127"/>
      <c r="E14" s="127"/>
      <c r="F14" s="127"/>
      <c r="G14" s="270"/>
      <c r="I14" s="164"/>
      <c r="M14" s="150"/>
      <c r="N14" s="150"/>
      <c r="O14" s="156"/>
      <c r="P14" s="151"/>
      <c r="Q14" s="150"/>
      <c r="R14" s="100"/>
    </row>
    <row r="15" spans="1:20" x14ac:dyDescent="0.3">
      <c r="A15" s="221"/>
      <c r="B15" s="127"/>
      <c r="C15" s="127"/>
      <c r="D15" s="127"/>
      <c r="E15" s="127"/>
      <c r="F15" s="127"/>
      <c r="G15" s="271"/>
      <c r="H15" s="64"/>
      <c r="I15" s="65"/>
      <c r="J15" s="22"/>
      <c r="K15" s="66"/>
      <c r="N15" s="272">
        <v>2223</v>
      </c>
      <c r="O15" s="272">
        <v>2324</v>
      </c>
      <c r="P15" s="272"/>
      <c r="Q15" s="273"/>
    </row>
    <row r="16" spans="1:20" x14ac:dyDescent="0.3">
      <c r="A16" s="220">
        <v>100101</v>
      </c>
      <c r="B16" s="87" t="s">
        <v>46</v>
      </c>
      <c r="C16" s="87" t="s">
        <v>73</v>
      </c>
      <c r="D16" s="370">
        <f>H8</f>
        <v>686</v>
      </c>
      <c r="E16" s="735">
        <f>'[12]pro-forma check'!$E6</f>
        <v>4536</v>
      </c>
      <c r="F16" s="403">
        <f>I8</f>
        <v>684</v>
      </c>
      <c r="G16" s="395">
        <f>'[13]pro-forma check'!$E6</f>
        <v>4785</v>
      </c>
      <c r="H16" s="64">
        <f>VLOOKUP($I$5,[12]AWPU!$E:$L,7,FALSE)</f>
        <v>3111696</v>
      </c>
      <c r="I16" s="65">
        <f>VLOOKUP($I$5,[13]AWPU!$E:$L,7,FALSE)</f>
        <v>3272940</v>
      </c>
      <c r="J16" s="22">
        <f>I16-H16</f>
        <v>161244</v>
      </c>
      <c r="K16" s="66">
        <f>IF(P16=TRUE,"n/a",IF(H16=0,"n/a",(J16/H16)*100))</f>
        <v>5.1818686658336803</v>
      </c>
      <c r="M16" s="273" t="s">
        <v>46</v>
      </c>
      <c r="N16" s="274">
        <v>4</v>
      </c>
      <c r="O16" s="274">
        <v>4</v>
      </c>
      <c r="P16" s="274"/>
      <c r="Q16" s="195">
        <f>F16*G16</f>
        <v>3272940</v>
      </c>
      <c r="R16" s="195">
        <f>I16-Q16</f>
        <v>0</v>
      </c>
      <c r="T16" s="278"/>
    </row>
    <row r="17" spans="1:21" x14ac:dyDescent="0.3">
      <c r="A17" s="220"/>
      <c r="B17" s="87"/>
      <c r="C17" s="87" t="s">
        <v>74</v>
      </c>
      <c r="D17" s="370">
        <f>H9</f>
        <v>449</v>
      </c>
      <c r="E17" s="735">
        <f>'[12]pro-forma check'!$E7</f>
        <v>5112</v>
      </c>
      <c r="F17" s="403">
        <f>I9</f>
        <v>457</v>
      </c>
      <c r="G17" s="395">
        <f>'[13]pro-forma check'!$E7</f>
        <v>5393</v>
      </c>
      <c r="H17" s="64">
        <f>VLOOKUP($I$5,[12]AWPU!$E:$L,8,FALSE)</f>
        <v>2295288</v>
      </c>
      <c r="I17" s="65">
        <f>VLOOKUP($I$5,[13]AWPU!$E:$L,8,FALSE)</f>
        <v>2464601</v>
      </c>
      <c r="J17" s="22">
        <f>I17-H17</f>
        <v>169313</v>
      </c>
      <c r="K17" s="66">
        <f>IF(P17=TRUE,"n/a",IF(H17=0,"n/a",(J17/H17)*100))</f>
        <v>7.3765470825447617</v>
      </c>
      <c r="M17" s="273"/>
      <c r="N17" s="274"/>
      <c r="O17" s="274"/>
      <c r="P17" s="274"/>
      <c r="Q17" s="195">
        <f>F17*G17</f>
        <v>2464601</v>
      </c>
      <c r="R17" s="195">
        <f>I17-Q17</f>
        <v>0</v>
      </c>
      <c r="T17" s="278"/>
    </row>
    <row r="18" spans="1:21" x14ac:dyDescent="0.3">
      <c r="A18" s="221"/>
      <c r="B18" s="87" t="s">
        <v>356</v>
      </c>
      <c r="C18" s="87"/>
      <c r="D18" s="87"/>
      <c r="E18" s="87"/>
      <c r="F18" s="87"/>
      <c r="G18" s="387"/>
      <c r="H18" s="64">
        <f>VLOOKUP($I$5,'[12]Budget Share'!$D:$Z,N18,FALSE)</f>
        <v>0</v>
      </c>
      <c r="I18" s="65">
        <f>VLOOKUP($I$5,'[13]Budget Share'!$D:$Z,O18,FALSE)</f>
        <v>0</v>
      </c>
      <c r="J18" s="22">
        <f>I18-H18</f>
        <v>0</v>
      </c>
      <c r="K18" s="66" t="str">
        <f>IF(P18=TRUE,"n/a",IF(H18=0,"n/a",(J18/H18)*100))</f>
        <v>n/a</v>
      </c>
      <c r="M18" s="273"/>
      <c r="N18" s="274">
        <v>14</v>
      </c>
      <c r="O18" s="274">
        <v>14</v>
      </c>
      <c r="P18" s="274"/>
      <c r="Q18" s="195"/>
      <c r="R18" s="195"/>
      <c r="T18" s="278"/>
    </row>
    <row r="19" spans="1:21" x14ac:dyDescent="0.3">
      <c r="A19" s="221"/>
      <c r="B19" s="343" t="s">
        <v>365</v>
      </c>
      <c r="C19" s="404"/>
      <c r="D19" s="404"/>
      <c r="E19" s="404"/>
      <c r="F19" s="404"/>
      <c r="G19" s="405"/>
      <c r="H19" s="365">
        <f>SUM(H16:H18)</f>
        <v>5406984</v>
      </c>
      <c r="I19" s="339">
        <f>SUM(I16:I18)</f>
        <v>5737541</v>
      </c>
      <c r="J19" s="339">
        <f>SUM(J16:J18)</f>
        <v>330557</v>
      </c>
      <c r="K19" s="408">
        <f t="shared" ref="K19" si="2">IF(P19=TRUE,"n/a",IF(H19=0,"n/a",(J19/H19)*100))</f>
        <v>6.1135191078797346</v>
      </c>
      <c r="M19" s="273"/>
      <c r="N19" s="274"/>
      <c r="O19" s="274"/>
      <c r="P19" s="274"/>
      <c r="Q19" s="195"/>
      <c r="R19" s="195"/>
      <c r="T19" s="278"/>
    </row>
    <row r="20" spans="1:21" s="98" customFormat="1" ht="14" customHeight="1" x14ac:dyDescent="0.3">
      <c r="A20" s="410"/>
      <c r="B20" s="322" t="s">
        <v>67</v>
      </c>
      <c r="C20" s="87"/>
      <c r="D20" s="411"/>
      <c r="E20" s="411"/>
      <c r="F20" s="394"/>
      <c r="G20" s="395"/>
      <c r="H20" s="370">
        <f>(H19)/H11</f>
        <v>4763.862555066079</v>
      </c>
      <c r="I20" s="371">
        <f>I19/I11</f>
        <v>5028.5197195442597</v>
      </c>
      <c r="J20" s="372">
        <f>I20-H20</f>
        <v>264.65716447818068</v>
      </c>
      <c r="K20" s="385">
        <f>IF(O20=TRUE,"n/a",IF(H20=0,"n/a",(J20/H20)*100))</f>
        <v>5.555516378127531</v>
      </c>
      <c r="L20" s="412"/>
      <c r="M20" s="287"/>
      <c r="N20" s="413"/>
      <c r="O20" s="413"/>
      <c r="P20" s="414"/>
      <c r="Q20" s="414"/>
      <c r="S20" s="415"/>
      <c r="T20" s="416"/>
      <c r="U20" s="416"/>
    </row>
    <row r="21" spans="1:21" s="71" customFormat="1" x14ac:dyDescent="0.3">
      <c r="A21" s="277"/>
      <c r="B21" s="189"/>
      <c r="C21" s="189"/>
      <c r="D21" s="189"/>
      <c r="E21" s="189"/>
      <c r="F21" s="189"/>
      <c r="G21" s="70"/>
      <c r="H21" s="64"/>
      <c r="I21" s="75"/>
      <c r="J21" s="77"/>
      <c r="K21" s="72"/>
      <c r="L21" s="99"/>
      <c r="M21" s="273"/>
      <c r="N21" s="274"/>
      <c r="O21" s="274"/>
      <c r="P21" s="274"/>
      <c r="Q21" s="195"/>
      <c r="R21" s="195"/>
      <c r="T21" s="278"/>
    </row>
    <row r="22" spans="1:21" x14ac:dyDescent="0.3">
      <c r="A22" s="221"/>
      <c r="B22" s="87" t="s">
        <v>48</v>
      </c>
      <c r="C22" s="87" t="s">
        <v>68</v>
      </c>
      <c r="D22" s="403">
        <f>VLOOKUP($I$5,[12]FSM!$E:$N,5,FALSE)</f>
        <v>291.00000000000017</v>
      </c>
      <c r="E22" s="394">
        <f>'[12]pro-forma check'!$E$9</f>
        <v>470</v>
      </c>
      <c r="F22" s="700">
        <f>VLOOKUP($I$5,[13]FSM!$E:$N,5,FALSE)</f>
        <v>305.00000000000045</v>
      </c>
      <c r="G22" s="395">
        <f>'[13]pro-forma check'!$E$9</f>
        <v>475.2</v>
      </c>
      <c r="H22" s="64">
        <f>VLOOKUP($I$5,'[12]Budget Share'!$D:$Z,N22,FALSE)</f>
        <v>136770.00000000009</v>
      </c>
      <c r="I22" s="65">
        <f>VLOOKUP($I$5,'[13]Budget Share'!$D:$Z,O22,FALSE)</f>
        <v>144936.0000000002</v>
      </c>
      <c r="J22" s="22">
        <f>I22-H22</f>
        <v>8166.0000000001164</v>
      </c>
      <c r="K22" s="66">
        <f>IF(P22=TRUE,"n/a",IF(H22=0,"n/a",(J22/H22)*100))</f>
        <v>5.9706075893837181</v>
      </c>
      <c r="M22" s="273" t="s">
        <v>48</v>
      </c>
      <c r="N22" s="274">
        <v>5</v>
      </c>
      <c r="O22" s="274">
        <v>5</v>
      </c>
      <c r="P22" s="274"/>
      <c r="Q22" s="195">
        <f t="shared" ref="Q22:Q36" si="3">F22*G22</f>
        <v>144936.0000000002</v>
      </c>
      <c r="R22" s="195">
        <f>I22-Q22</f>
        <v>0</v>
      </c>
      <c r="T22" s="275"/>
    </row>
    <row r="23" spans="1:21" x14ac:dyDescent="0.3">
      <c r="A23" s="221"/>
      <c r="B23" s="87"/>
      <c r="C23" s="87" t="s">
        <v>278</v>
      </c>
      <c r="D23" s="403">
        <f>VLOOKUP($I$5,[12]FSM!$E:$N,8,FALSE)</f>
        <v>364.99999999999949</v>
      </c>
      <c r="E23" s="394">
        <f>'[12]pro-forma check'!$E$11</f>
        <v>435.93366606179188</v>
      </c>
      <c r="F23" s="700">
        <f>VLOOKUP($I$5,[13]FSM!$E:$N,8,FALSE)</f>
        <v>344.00000000000006</v>
      </c>
      <c r="G23" s="395">
        <f>'[13]pro-forma check'!$E$11</f>
        <v>808.55000000000007</v>
      </c>
      <c r="H23" s="64">
        <f>VLOOKUP($I$5,'[12]Budget Share'!$D:$Z,N23,FALSE)</f>
        <v>159115.78811255383</v>
      </c>
      <c r="I23" s="65">
        <f>VLOOKUP($I$5,'[13]Budget Share'!$D:$Z,O23,FALSE)</f>
        <v>278141.20000000007</v>
      </c>
      <c r="J23" s="22">
        <f>I23-H23</f>
        <v>119025.41188744624</v>
      </c>
      <c r="K23" s="66">
        <f>IF(P23=TRUE,"n/a",IF(H23=0,"n/a",(J23/H23)*100))</f>
        <v>74.804275112694143</v>
      </c>
      <c r="M23" s="273"/>
      <c r="N23" s="274">
        <v>6</v>
      </c>
      <c r="O23" s="274">
        <v>6</v>
      </c>
      <c r="P23" s="274"/>
      <c r="Q23" s="195">
        <f t="shared" si="3"/>
        <v>278141.20000000007</v>
      </c>
      <c r="R23" s="195">
        <f>I23-Q23</f>
        <v>0</v>
      </c>
      <c r="T23" s="275"/>
    </row>
    <row r="24" spans="1:21" x14ac:dyDescent="0.3">
      <c r="A24" s="221"/>
      <c r="B24" s="87"/>
      <c r="C24" s="87"/>
      <c r="D24" s="87"/>
      <c r="E24" s="87"/>
      <c r="F24" s="736"/>
      <c r="G24" s="396"/>
      <c r="H24" s="64"/>
      <c r="I24" s="65"/>
      <c r="J24" s="22"/>
      <c r="K24" s="66"/>
      <c r="M24" s="273"/>
      <c r="N24" s="274"/>
      <c r="O24" s="274"/>
      <c r="P24" s="274"/>
      <c r="Q24" s="195"/>
      <c r="R24" s="195"/>
      <c r="T24" s="275"/>
    </row>
    <row r="25" spans="1:21" x14ac:dyDescent="0.3">
      <c r="A25" s="221"/>
      <c r="B25" s="207" t="s">
        <v>69</v>
      </c>
      <c r="C25" s="87" t="s">
        <v>189</v>
      </c>
      <c r="D25" s="403">
        <f>VLOOKUP($I$5,[12]IDACI!$E:$W,17,FALSE)</f>
        <v>52.999999999999943</v>
      </c>
      <c r="E25" s="394">
        <f>'[12]pro-forma check'!$E18</f>
        <v>258.812243530594</v>
      </c>
      <c r="F25" s="700">
        <f>VLOOKUP($I$5,[13]IDACI!$E:$AI,17,FALSE)</f>
        <v>48.000000000000007</v>
      </c>
      <c r="G25" s="395">
        <f>'[13]pro-forma check'!$E18</f>
        <v>281.75716514780794</v>
      </c>
      <c r="H25" s="64">
        <f>VLOOKUP($I$5,'[12]Budget Share'!$D:$Z,N25,FALSE)</f>
        <v>234764.8455005039</v>
      </c>
      <c r="I25" s="65">
        <f>VLOOKUP($I$5,'[13]Budget Share'!$D:$Z,O25,FALSE)</f>
        <v>254540.26406069467</v>
      </c>
      <c r="J25" s="22">
        <f>I25-H25</f>
        <v>19775.418560190767</v>
      </c>
      <c r="K25" s="66">
        <f>IF(P25=TRUE,"n/a",IF(H25=0,"n/a",(J25/H25)*100))</f>
        <v>8.4235007664928787</v>
      </c>
      <c r="M25" s="273"/>
      <c r="N25" s="274">
        <v>7</v>
      </c>
      <c r="O25" s="274">
        <v>7</v>
      </c>
      <c r="P25" s="274"/>
      <c r="Q25" s="195">
        <f t="shared" si="3"/>
        <v>13524.343927094784</v>
      </c>
      <c r="R25" s="195">
        <f t="shared" ref="R25:R30" si="4">I25-Q25</f>
        <v>241015.9201335999</v>
      </c>
      <c r="T25" s="275"/>
    </row>
    <row r="26" spans="1:21" x14ac:dyDescent="0.3">
      <c r="A26" s="221"/>
      <c r="B26" s="207" t="s">
        <v>70</v>
      </c>
      <c r="C26" s="87" t="s">
        <v>188</v>
      </c>
      <c r="D26" s="403">
        <f>VLOOKUP($I$5,[12]IDACI!$E:$W,16,FALSE)</f>
        <v>188.00000000000026</v>
      </c>
      <c r="E26" s="394">
        <f>'[12]pro-forma check'!$E19</f>
        <v>346.23735827482744</v>
      </c>
      <c r="F26" s="700">
        <f>VLOOKUP($I$5,[13]IDACI!$E:$AI,16,FALSE)</f>
        <v>182.00000000000031</v>
      </c>
      <c r="G26" s="395">
        <f>'[13]pro-forma check'!$E19</f>
        <v>374.27444325604341</v>
      </c>
      <c r="H26" s="64"/>
      <c r="I26" s="65"/>
      <c r="J26" s="22"/>
      <c r="K26" s="66"/>
      <c r="M26" s="273"/>
      <c r="N26" s="274"/>
      <c r="O26" s="274"/>
      <c r="P26" s="274"/>
      <c r="Q26" s="195">
        <f t="shared" si="3"/>
        <v>68117.948672600018</v>
      </c>
      <c r="R26" s="195">
        <f t="shared" si="4"/>
        <v>-68117.948672600018</v>
      </c>
      <c r="T26" s="275"/>
    </row>
    <row r="27" spans="1:21" x14ac:dyDescent="0.3">
      <c r="A27" s="221"/>
      <c r="B27" s="87"/>
      <c r="C27" s="87" t="s">
        <v>187</v>
      </c>
      <c r="D27" s="403">
        <f>VLOOKUP($I$5,[12]IDACI!$E:$W,15,FALSE)</f>
        <v>71.999999999999972</v>
      </c>
      <c r="E27" s="394">
        <f>'[12]pro-forma check'!$E20</f>
        <v>483.9696814443372</v>
      </c>
      <c r="F27" s="700">
        <f>VLOOKUP($I$5,[13]IDACI!$E:$AI,15,FALSE)</f>
        <v>75.000000000000043</v>
      </c>
      <c r="G27" s="395">
        <f>'[13]pro-forma check'!$E20</f>
        <v>521.46102206459977</v>
      </c>
      <c r="H27" s="64"/>
      <c r="I27" s="65"/>
      <c r="J27" s="22"/>
      <c r="K27" s="66"/>
      <c r="M27" s="273"/>
      <c r="N27" s="274"/>
      <c r="O27" s="274"/>
      <c r="P27" s="274"/>
      <c r="Q27" s="195">
        <f t="shared" si="3"/>
        <v>39109.576654845005</v>
      </c>
      <c r="R27" s="195">
        <f t="shared" si="4"/>
        <v>-39109.576654845005</v>
      </c>
      <c r="T27" s="275"/>
    </row>
    <row r="28" spans="1:21" x14ac:dyDescent="0.3">
      <c r="A28" s="221"/>
      <c r="B28" s="87"/>
      <c r="C28" s="87" t="s">
        <v>186</v>
      </c>
      <c r="D28" s="403">
        <f>VLOOKUP($I$5,[12]IDACI!$E:$W,14,FALSE)</f>
        <v>64.000000000000014</v>
      </c>
      <c r="E28" s="394">
        <f>'[12]pro-forma check'!$E21</f>
        <v>525.95068846540073</v>
      </c>
      <c r="F28" s="700">
        <f>VLOOKUP($I$5,[13]IDACI!$E:$AI,14,FALSE)</f>
        <v>59.000000000000036</v>
      </c>
      <c r="G28" s="395">
        <f>'[13]pro-forma check'!$E21</f>
        <v>571.92499194181914</v>
      </c>
      <c r="H28" s="64"/>
      <c r="I28" s="65"/>
      <c r="J28" s="22"/>
      <c r="K28" s="66"/>
      <c r="M28" s="273"/>
      <c r="N28" s="274"/>
      <c r="O28" s="274"/>
      <c r="P28" s="274"/>
      <c r="Q28" s="195">
        <f t="shared" si="3"/>
        <v>33743.574524567353</v>
      </c>
      <c r="R28" s="195">
        <f t="shared" si="4"/>
        <v>-33743.574524567353</v>
      </c>
      <c r="T28" s="275"/>
    </row>
    <row r="29" spans="1:21" x14ac:dyDescent="0.3">
      <c r="A29" s="221"/>
      <c r="B29" s="87"/>
      <c r="C29" s="87" t="s">
        <v>185</v>
      </c>
      <c r="D29" s="403">
        <f>VLOOKUP($I$5,[12]IDACI!$E:$W,13,FALSE)</f>
        <v>121.00000000000057</v>
      </c>
      <c r="E29" s="394">
        <f>'[12]pro-forma check'!$E22</f>
        <v>567.58169548646424</v>
      </c>
      <c r="F29" s="700">
        <f>VLOOKUP($I$5,[13]IDACI!$E:$AI,13,FALSE)</f>
        <v>126.0000000000003</v>
      </c>
      <c r="G29" s="395">
        <f>'[13]pro-forma check'!$E22</f>
        <v>613.97830017283525</v>
      </c>
      <c r="H29" s="64"/>
      <c r="I29" s="65"/>
      <c r="J29" s="22"/>
      <c r="K29" s="66"/>
      <c r="M29" s="273"/>
      <c r="N29" s="274"/>
      <c r="O29" s="274"/>
      <c r="P29" s="274"/>
      <c r="Q29" s="195">
        <f t="shared" si="3"/>
        <v>77361.26582177743</v>
      </c>
      <c r="R29" s="195">
        <f t="shared" si="4"/>
        <v>-77361.26582177743</v>
      </c>
      <c r="T29" s="275"/>
    </row>
    <row r="30" spans="1:21" x14ac:dyDescent="0.3">
      <c r="A30" s="221"/>
      <c r="B30" s="87"/>
      <c r="C30" s="87" t="s">
        <v>184</v>
      </c>
      <c r="D30" s="403">
        <f>VLOOKUP($I$5,[12]IDACI!$E:$W,12,FALSE)</f>
        <v>25.999999999999954</v>
      </c>
      <c r="E30" s="394">
        <f>'[12]pro-forma check'!$E23</f>
        <v>721.96642146439956</v>
      </c>
      <c r="F30" s="700">
        <f>VLOOKUP($I$5,[13]IDACI!$E:$AI,12,FALSE)</f>
        <v>28.999999999999975</v>
      </c>
      <c r="G30" s="395">
        <f>'[13]pro-forma check'!$E23</f>
        <v>782.19153309689966</v>
      </c>
      <c r="H30" s="64"/>
      <c r="I30" s="65"/>
      <c r="J30" s="22"/>
      <c r="K30" s="66"/>
      <c r="M30" s="273"/>
      <c r="N30" s="274"/>
      <c r="O30" s="274"/>
      <c r="P30" s="274"/>
      <c r="Q30" s="195">
        <f t="shared" si="3"/>
        <v>22683.554459810071</v>
      </c>
      <c r="R30" s="195">
        <f t="shared" si="4"/>
        <v>-22683.554459810071</v>
      </c>
      <c r="S30" s="193">
        <f>SUM(R22:R30)</f>
        <v>0</v>
      </c>
      <c r="T30" s="275"/>
    </row>
    <row r="31" spans="1:21" s="144" customFormat="1" ht="12.5" x14ac:dyDescent="0.25">
      <c r="A31" s="281"/>
      <c r="B31" s="87"/>
      <c r="C31" s="87"/>
      <c r="D31" s="87"/>
      <c r="E31" s="87"/>
      <c r="F31" s="87"/>
      <c r="G31" s="387"/>
      <c r="H31" s="64"/>
      <c r="I31" s="320"/>
      <c r="J31" s="22"/>
      <c r="K31" s="66"/>
      <c r="L31" s="99"/>
      <c r="M31" s="273"/>
      <c r="N31" s="274"/>
      <c r="O31" s="274"/>
      <c r="P31" s="274"/>
      <c r="Q31" s="195"/>
      <c r="R31" s="195"/>
      <c r="T31" s="275"/>
    </row>
    <row r="32" spans="1:21" s="82" customFormat="1" x14ac:dyDescent="0.3">
      <c r="A32" s="220"/>
      <c r="B32" s="87" t="s">
        <v>50</v>
      </c>
      <c r="C32" s="87" t="s">
        <v>143</v>
      </c>
      <c r="D32" s="403">
        <f>VLOOKUP($I$5,[12]Attain!$E:$AA,22,FALSE)</f>
        <v>220.35153755784867</v>
      </c>
      <c r="E32" s="395">
        <f>'[12]pro-forma check'!$E$28</f>
        <v>1710</v>
      </c>
      <c r="F32" s="700">
        <f>VLOOKUP(I5,[13]Attain!$E:$AA,22,FALSE)</f>
        <v>209.00153632510279</v>
      </c>
      <c r="G32" s="395">
        <f>'[13]pro-forma check'!$E$28</f>
        <v>1750</v>
      </c>
      <c r="H32" s="64">
        <f>VLOOKUP($I$5,'[12]Budget Share'!$D:$Z,N32,FALSE)</f>
        <v>376801.12922392122</v>
      </c>
      <c r="I32" s="65">
        <f>VLOOKUP($I$5,'[13]Budget Share'!$D:$Z,O32,FALSE)</f>
        <v>365752.68856892991</v>
      </c>
      <c r="J32" s="22">
        <f>I32-H32</f>
        <v>-11048.440654991311</v>
      </c>
      <c r="K32" s="66">
        <f>IF(P32=TRUE,"n/a",IF(H32=0,"n/a",(J32/H32)*100))</f>
        <v>-2.9321676072859022</v>
      </c>
      <c r="L32" s="99"/>
      <c r="M32" s="273" t="s">
        <v>50</v>
      </c>
      <c r="N32" s="274">
        <v>8</v>
      </c>
      <c r="O32" s="274">
        <v>8</v>
      </c>
      <c r="P32" s="274"/>
      <c r="Q32" s="195">
        <f t="shared" si="3"/>
        <v>365752.68856892991</v>
      </c>
      <c r="R32" s="195">
        <f>I32-Q32</f>
        <v>0</v>
      </c>
      <c r="T32" s="275"/>
    </row>
    <row r="33" spans="1:20" s="82" customFormat="1" x14ac:dyDescent="0.3">
      <c r="A33" s="220"/>
      <c r="B33" s="87"/>
      <c r="C33" s="87"/>
      <c r="D33" s="397"/>
      <c r="E33" s="395"/>
      <c r="F33" s="397"/>
      <c r="G33" s="395"/>
      <c r="H33" s="64"/>
      <c r="I33" s="65"/>
      <c r="J33" s="22"/>
      <c r="K33" s="66"/>
      <c r="L33" s="99"/>
      <c r="M33" s="273"/>
      <c r="N33" s="274"/>
      <c r="O33" s="274"/>
      <c r="P33" s="274"/>
      <c r="Q33" s="195"/>
      <c r="R33" s="195"/>
      <c r="T33" s="275"/>
    </row>
    <row r="34" spans="1:20" s="82" customFormat="1" x14ac:dyDescent="0.3">
      <c r="A34" s="220"/>
      <c r="B34" s="87" t="s">
        <v>51</v>
      </c>
      <c r="C34" s="87" t="s">
        <v>52</v>
      </c>
      <c r="D34" s="403">
        <f>VLOOKUP($I$5,[12]EAL!$D:$J,6,FALSE)</f>
        <v>62.000000000000057</v>
      </c>
      <c r="E34" s="395">
        <f>'[12]pro-forma check'!$E$30</f>
        <v>1530</v>
      </c>
      <c r="F34" s="700">
        <f>VLOOKUP($I$5,[13]EAL!$D:$J,6,FALSE)</f>
        <v>69.999999999999957</v>
      </c>
      <c r="G34" s="395">
        <f>'[13]pro-forma check'!$E$30</f>
        <v>1565</v>
      </c>
      <c r="H34" s="64">
        <f>VLOOKUP($I$5,'[12]Budget Share'!$D:$Z,N34,FALSE)</f>
        <v>94860.000000000087</v>
      </c>
      <c r="I34" s="65">
        <f>VLOOKUP($I$5,'[13]Budget Share'!$D:$Z,O34,FALSE)</f>
        <v>109549.99999999993</v>
      </c>
      <c r="J34" s="22">
        <f>I34-H34</f>
        <v>14689.99999999984</v>
      </c>
      <c r="K34" s="66">
        <f>IF(P34=TRUE,"n/a",IF(H34=0,"n/a",(J34/H34)*100))</f>
        <v>15.485979337971564</v>
      </c>
      <c r="L34" s="99"/>
      <c r="M34" s="273" t="s">
        <v>51</v>
      </c>
      <c r="N34" s="274">
        <v>9</v>
      </c>
      <c r="O34" s="274">
        <v>9</v>
      </c>
      <c r="P34" s="274"/>
      <c r="Q34" s="195">
        <f t="shared" si="3"/>
        <v>109549.99999999993</v>
      </c>
      <c r="R34" s="195">
        <f>I34-Q34</f>
        <v>0</v>
      </c>
      <c r="T34" s="275"/>
    </row>
    <row r="35" spans="1:20" s="82" customFormat="1" ht="12.5" x14ac:dyDescent="0.25">
      <c r="A35" s="220"/>
      <c r="B35" s="87"/>
      <c r="C35" s="87"/>
      <c r="D35" s="87"/>
      <c r="E35" s="387"/>
      <c r="F35" s="87"/>
      <c r="G35" s="387"/>
      <c r="H35" s="64"/>
      <c r="I35" s="398"/>
      <c r="J35" s="398"/>
      <c r="K35" s="320"/>
      <c r="L35" s="99"/>
      <c r="M35" s="273"/>
      <c r="N35" s="274"/>
      <c r="O35" s="274"/>
      <c r="P35" s="274"/>
      <c r="Q35" s="195"/>
      <c r="R35" s="195"/>
      <c r="T35" s="275"/>
    </row>
    <row r="36" spans="1:20" x14ac:dyDescent="0.3">
      <c r="A36" s="221"/>
      <c r="B36" s="87" t="s">
        <v>117</v>
      </c>
      <c r="C36" s="87" t="s">
        <v>355</v>
      </c>
      <c r="D36" s="403">
        <f>VLOOKUP($I$5,[12]Mobility!$D:$N,7,FALSE)</f>
        <v>0</v>
      </c>
      <c r="E36" s="395">
        <f>'[12]pro-forma check'!$E$25</f>
        <v>1330</v>
      </c>
      <c r="F36" s="700">
        <f>VLOOKUP($I$5,[13]Mobility!$D:$N,7,FALSE)</f>
        <v>0</v>
      </c>
      <c r="G36" s="395">
        <f>'[13]pro-forma check'!$E$25</f>
        <v>1360</v>
      </c>
      <c r="H36" s="64">
        <f>VLOOKUP($I$5,'[12]Budget Share'!$D:$Z,N36,FALSE)</f>
        <v>0</v>
      </c>
      <c r="I36" s="65">
        <f>VLOOKUP($I$5,'[13]Budget Share'!$D:$Z,O36,FALSE)</f>
        <v>0</v>
      </c>
      <c r="J36" s="22">
        <f>I36-H36</f>
        <v>0</v>
      </c>
      <c r="K36" s="66" t="str">
        <f>IF(P36=TRUE,"n/a",IF(H36=0,"n/a",(J36/H36)*100))</f>
        <v>n/a</v>
      </c>
      <c r="M36" s="273" t="s">
        <v>49</v>
      </c>
      <c r="N36" s="274">
        <v>12</v>
      </c>
      <c r="O36" s="274">
        <v>12</v>
      </c>
      <c r="P36" s="274"/>
      <c r="Q36" s="195">
        <f t="shared" si="3"/>
        <v>0</v>
      </c>
      <c r="R36" s="195">
        <f>I36-Q36</f>
        <v>0</v>
      </c>
      <c r="T36" s="275"/>
    </row>
    <row r="37" spans="1:20" x14ac:dyDescent="0.3">
      <c r="A37" s="221"/>
      <c r="B37" s="87"/>
      <c r="C37" s="87"/>
      <c r="D37" s="87"/>
      <c r="E37" s="87"/>
      <c r="F37" s="87"/>
      <c r="G37" s="387"/>
      <c r="H37" s="64"/>
      <c r="I37" s="65"/>
      <c r="J37" s="22"/>
      <c r="K37" s="66"/>
      <c r="M37" s="273"/>
      <c r="N37" s="274"/>
      <c r="O37" s="274"/>
      <c r="P37" s="274"/>
      <c r="Q37" s="195"/>
      <c r="R37" s="195"/>
      <c r="T37" s="278"/>
    </row>
    <row r="38" spans="1:20" x14ac:dyDescent="0.3">
      <c r="A38" s="221"/>
      <c r="B38" s="87" t="s">
        <v>53</v>
      </c>
      <c r="C38" s="87"/>
      <c r="D38" s="87"/>
      <c r="E38" s="87"/>
      <c r="F38" s="87"/>
      <c r="G38" s="387"/>
      <c r="H38" s="64">
        <f>VLOOKUP($I$5,'[12]Budget Share'!$D:$Z,N38,FALSE)</f>
        <v>121300</v>
      </c>
      <c r="I38" s="65">
        <f>VLOOKUP($I$5,'[13]Budget Share'!$D:$Z,O38,FALSE)</f>
        <v>128000</v>
      </c>
      <c r="J38" s="22">
        <f>I38-H38</f>
        <v>6700</v>
      </c>
      <c r="K38" s="66">
        <f>IF(P38=TRUE,"n/a",IF(H38=0,"n/a",(J38/H38)*100))</f>
        <v>5.5234954657873043</v>
      </c>
      <c r="M38" s="273" t="s">
        <v>53</v>
      </c>
      <c r="N38" s="274">
        <v>11</v>
      </c>
      <c r="O38" s="274">
        <v>11</v>
      </c>
      <c r="P38" s="274"/>
      <c r="Q38" s="195">
        <f>I38</f>
        <v>128000</v>
      </c>
      <c r="R38" s="195">
        <f>I38-Q38</f>
        <v>0</v>
      </c>
      <c r="T38" s="278"/>
    </row>
    <row r="39" spans="1:20" x14ac:dyDescent="0.3">
      <c r="A39" s="221"/>
      <c r="B39" s="87"/>
      <c r="C39" s="87"/>
      <c r="D39" s="87"/>
      <c r="E39" s="87"/>
      <c r="F39" s="87"/>
      <c r="G39" s="387"/>
      <c r="H39" s="64"/>
      <c r="I39" s="89"/>
      <c r="J39" s="22"/>
      <c r="K39" s="66"/>
      <c r="M39" s="273"/>
      <c r="N39" s="274"/>
      <c r="O39" s="274"/>
      <c r="P39" s="274"/>
      <c r="Q39" s="195"/>
      <c r="R39" s="195"/>
      <c r="T39" s="278"/>
    </row>
    <row r="40" spans="1:20" x14ac:dyDescent="0.3">
      <c r="A40" s="221"/>
      <c r="B40" s="87" t="s">
        <v>82</v>
      </c>
      <c r="C40" s="87"/>
      <c r="D40" s="87"/>
      <c r="E40" s="87"/>
      <c r="F40" s="87"/>
      <c r="G40" s="387"/>
      <c r="H40" s="64">
        <f>VLOOKUP($I$5,'[12]Budget Share'!$D:$Z,N40,FALSE)</f>
        <v>361093.59504350001</v>
      </c>
      <c r="I40" s="65">
        <f>VLOOKUP($I$5,'[13]Budget Share'!$D:$Z,O40,FALSE)</f>
        <v>385954.32764288998</v>
      </c>
      <c r="J40" s="22">
        <f>I40-H40</f>
        <v>24860.732599389972</v>
      </c>
      <c r="K40" s="66">
        <f>IF(P40=TRUE,"n/a",IF(H40=0,"n/a",(J40/H40)*100))</f>
        <v>6.8848445224831707</v>
      </c>
      <c r="M40" s="273" t="s">
        <v>367</v>
      </c>
      <c r="N40" s="274">
        <v>20</v>
      </c>
      <c r="O40" s="274">
        <v>20</v>
      </c>
      <c r="P40" s="274"/>
      <c r="Q40" s="195">
        <f>I40</f>
        <v>385954.32764288998</v>
      </c>
      <c r="R40" s="195">
        <f>I40-Q40</f>
        <v>0</v>
      </c>
      <c r="T40" s="278"/>
    </row>
    <row r="41" spans="1:20" x14ac:dyDescent="0.3">
      <c r="A41" s="221"/>
      <c r="B41" s="87"/>
      <c r="C41" s="87"/>
      <c r="D41" s="87"/>
      <c r="E41" s="87"/>
      <c r="F41" s="87"/>
      <c r="G41" s="387"/>
      <c r="H41" s="64"/>
      <c r="I41" s="89"/>
      <c r="J41" s="22"/>
      <c r="K41" s="66"/>
      <c r="M41" s="273"/>
      <c r="N41" s="274"/>
      <c r="O41" s="274"/>
      <c r="P41" s="274"/>
      <c r="Q41" s="195"/>
      <c r="R41" s="195"/>
      <c r="T41" s="278"/>
    </row>
    <row r="42" spans="1:20" x14ac:dyDescent="0.3">
      <c r="A42" s="221"/>
      <c r="B42" s="308" t="s">
        <v>467</v>
      </c>
      <c r="C42" s="87"/>
      <c r="D42" s="87"/>
      <c r="E42" s="87"/>
      <c r="F42" s="87"/>
      <c r="G42" s="387"/>
      <c r="H42" s="64">
        <f>VLOOKUP($I$5,'[14]Final Summary 22-23'!$D:$L,9,FALSE)</f>
        <v>268800</v>
      </c>
      <c r="I42" s="65">
        <f>VLOOKUP($I$5,'[13]Budget Share'!$D:$Z,O42,FALSE)</f>
        <v>268800</v>
      </c>
      <c r="J42" s="22">
        <f>I42-H42</f>
        <v>0</v>
      </c>
      <c r="K42" s="66">
        <f>IF(P42=TRUE,"n/a",IF(H42=0,"n/a",(J42/H42)*100))</f>
        <v>0</v>
      </c>
      <c r="M42" s="273" t="s">
        <v>9</v>
      </c>
      <c r="N42" s="274">
        <v>21</v>
      </c>
      <c r="O42" s="274">
        <v>22</v>
      </c>
      <c r="P42" s="274"/>
      <c r="Q42" s="195">
        <f>I42</f>
        <v>268800</v>
      </c>
      <c r="R42" s="195">
        <f>I42-Q42</f>
        <v>0</v>
      </c>
      <c r="T42" s="278"/>
    </row>
    <row r="43" spans="1:20" x14ac:dyDescent="0.3">
      <c r="A43" s="221"/>
      <c r="B43" s="87"/>
      <c r="C43" s="87"/>
      <c r="D43" s="87"/>
      <c r="E43" s="87"/>
      <c r="F43" s="87"/>
      <c r="G43" s="387"/>
      <c r="H43" s="64"/>
      <c r="I43" s="89"/>
      <c r="J43" s="22"/>
      <c r="K43" s="66"/>
      <c r="M43" s="273"/>
      <c r="N43" s="274"/>
      <c r="O43" s="274"/>
      <c r="P43" s="274"/>
      <c r="Q43" s="195"/>
      <c r="R43" s="195"/>
      <c r="T43" s="278"/>
    </row>
    <row r="44" spans="1:20" x14ac:dyDescent="0.3">
      <c r="A44" s="221"/>
      <c r="B44" s="87" t="s">
        <v>83</v>
      </c>
      <c r="C44" s="87"/>
      <c r="D44" s="87"/>
      <c r="E44" s="87"/>
      <c r="F44" s="87"/>
      <c r="G44" s="387"/>
      <c r="H44" s="64">
        <f>VLOOKUP($I$5,'[12]Budget Share'!$D:$Z,N44,FALSE)</f>
        <v>447455.27812538418</v>
      </c>
      <c r="I44" s="65">
        <f>VLOOKUP($I$5,'[13]Budget Share'!$D:$Z,O44,FALSE)</f>
        <v>574804.2287517325</v>
      </c>
      <c r="J44" s="22">
        <f>I44-H44</f>
        <v>127348.95062634832</v>
      </c>
      <c r="K44" s="66">
        <f>IF(P44=TRUE,"n/a",IF(H44=0,"n/a",(J44/H44)*100))</f>
        <v>28.460710344031988</v>
      </c>
      <c r="M44" s="273" t="s">
        <v>368</v>
      </c>
      <c r="N44" s="274">
        <v>19</v>
      </c>
      <c r="O44" s="274">
        <v>19</v>
      </c>
      <c r="P44" s="274"/>
      <c r="Q44" s="195">
        <f>I44</f>
        <v>574804.2287517325</v>
      </c>
      <c r="R44" s="195">
        <f>I44-Q44</f>
        <v>0</v>
      </c>
      <c r="T44" s="278"/>
    </row>
    <row r="45" spans="1:20" x14ac:dyDescent="0.3">
      <c r="A45" s="221"/>
      <c r="B45" s="87"/>
      <c r="C45" s="87"/>
      <c r="D45" s="87"/>
      <c r="E45" s="87"/>
      <c r="F45" s="87"/>
      <c r="G45" s="387"/>
      <c r="H45" s="64"/>
      <c r="I45" s="65"/>
      <c r="J45" s="22"/>
      <c r="K45" s="66"/>
      <c r="M45" s="273"/>
      <c r="N45" s="274"/>
      <c r="O45" s="274"/>
      <c r="P45" s="274"/>
      <c r="Q45" s="195"/>
      <c r="R45" s="195"/>
      <c r="T45" s="278"/>
    </row>
    <row r="46" spans="1:20" x14ac:dyDescent="0.3">
      <c r="A46" s="221"/>
      <c r="B46" s="87" t="s">
        <v>57</v>
      </c>
      <c r="C46" s="87"/>
      <c r="D46" s="87"/>
      <c r="E46" s="87"/>
      <c r="F46" s="87" t="s">
        <v>84</v>
      </c>
      <c r="G46" s="399">
        <v>1</v>
      </c>
      <c r="H46" s="64">
        <f>VLOOKUP($I$5,'[12]Budget Share'!$D:$Z,N46,FALSE)</f>
        <v>0</v>
      </c>
      <c r="I46" s="65">
        <f>VLOOKUP($I$5,'[13]Budget Share'!$D:$Z,O46,FALSE)</f>
        <v>0</v>
      </c>
      <c r="J46" s="22">
        <f>I46-H46</f>
        <v>0</v>
      </c>
      <c r="K46" s="66" t="str">
        <f>IF(P46=TRUE,"n/a",IF(H46=0,"n/a",(J46/H46)*100))</f>
        <v>n/a</v>
      </c>
      <c r="M46" s="273" t="s">
        <v>57</v>
      </c>
      <c r="N46" s="274">
        <v>16</v>
      </c>
      <c r="O46" s="274">
        <v>16</v>
      </c>
      <c r="P46" s="274"/>
      <c r="Q46" s="195"/>
      <c r="R46" s="195"/>
      <c r="T46" s="278"/>
    </row>
    <row r="47" spans="1:20" x14ac:dyDescent="0.3">
      <c r="A47" s="220"/>
      <c r="B47" s="87" t="s">
        <v>118</v>
      </c>
      <c r="C47" s="87"/>
      <c r="D47" s="87"/>
      <c r="E47" s="87"/>
      <c r="F47" s="87" t="s">
        <v>233</v>
      </c>
      <c r="G47" s="418">
        <f>[13]MFG!$Q$1</f>
        <v>5.0000000000000001E-3</v>
      </c>
      <c r="H47" s="64">
        <f>VLOOKUP($I$5,'[12]Budget Share'!$D:$Z,N47,FALSE)</f>
        <v>0</v>
      </c>
      <c r="I47" s="65">
        <f>VLOOKUP($I$5,'[13]Budget Share'!$D:$Z,O47,FALSE)</f>
        <v>0</v>
      </c>
      <c r="J47" s="22">
        <f>I47-H47</f>
        <v>0</v>
      </c>
      <c r="K47" s="66" t="str">
        <f>IF(P47=TRUE,"n/a",IF(H47=0,"n/a",(J47/H47)*100))</f>
        <v>n/a</v>
      </c>
      <c r="M47" s="273" t="s">
        <v>58</v>
      </c>
      <c r="N47" s="274">
        <v>18</v>
      </c>
      <c r="O47" s="274">
        <v>18</v>
      </c>
      <c r="P47" s="274"/>
      <c r="Q47" s="195"/>
      <c r="R47" s="195"/>
      <c r="T47" s="278"/>
    </row>
    <row r="48" spans="1:20" ht="13.5" thickBot="1" x14ac:dyDescent="0.35">
      <c r="A48" s="220"/>
      <c r="B48" s="87"/>
      <c r="C48" s="87"/>
      <c r="D48" s="87"/>
      <c r="E48" s="87"/>
      <c r="F48" s="87"/>
      <c r="G48" s="417"/>
      <c r="H48" s="64"/>
      <c r="I48" s="65"/>
      <c r="J48" s="22"/>
      <c r="K48" s="66"/>
      <c r="M48" s="273"/>
      <c r="N48" s="273"/>
      <c r="O48" s="273"/>
      <c r="P48" s="273"/>
      <c r="Q48" s="273"/>
      <c r="T48" s="278"/>
    </row>
    <row r="49" spans="1:20" s="144" customFormat="1" ht="14.5" thickBot="1" x14ac:dyDescent="0.35">
      <c r="A49" s="220">
        <v>100101</v>
      </c>
      <c r="B49" s="3" t="s">
        <v>62</v>
      </c>
      <c r="C49" s="3"/>
      <c r="D49" s="3"/>
      <c r="E49" s="3"/>
      <c r="F49" s="3"/>
      <c r="G49" s="5"/>
      <c r="H49" s="311">
        <f>SUM(H22:H47)+H19</f>
        <v>7607944.6360058635</v>
      </c>
      <c r="I49" s="311">
        <f>SUM(I22:I47)+I19</f>
        <v>8248019.7090242468</v>
      </c>
      <c r="J49" s="311">
        <f>SUM(J22:J47)+J19</f>
        <v>640075.07301838393</v>
      </c>
      <c r="K49" s="312">
        <f>IF(P49=TRUE,"n/a",IF(H49=0,"n/a",(J49/H49)*100))</f>
        <v>8.4132456746480795</v>
      </c>
      <c r="L49" s="99"/>
      <c r="M49" s="99"/>
      <c r="T49" s="278"/>
    </row>
    <row r="50" spans="1:20" s="177" customFormat="1" ht="15.5" x14ac:dyDescent="0.3">
      <c r="A50" s="283"/>
      <c r="B50" s="308" t="s">
        <v>11</v>
      </c>
      <c r="C50" s="175"/>
      <c r="D50" s="175"/>
      <c r="E50" s="175"/>
      <c r="F50" s="175"/>
      <c r="G50" s="176"/>
      <c r="H50" s="368">
        <f>H49/H11</f>
        <v>6703.0349215910692</v>
      </c>
      <c r="I50" s="368">
        <f>I49/I11</f>
        <v>7228.7639868748875</v>
      </c>
      <c r="J50" s="368">
        <f>I50-H50</f>
        <v>525.72906528381827</v>
      </c>
      <c r="K50" s="483">
        <f>J50/H50*100</f>
        <v>7.8431497289443968</v>
      </c>
      <c r="L50" s="195"/>
      <c r="M50" s="284"/>
    </row>
    <row r="51" spans="1:20" s="177" customFormat="1" ht="9" customHeight="1" x14ac:dyDescent="0.3">
      <c r="A51" s="283"/>
      <c r="B51" s="308"/>
      <c r="C51" s="175"/>
      <c r="D51" s="175"/>
      <c r="E51" s="175"/>
      <c r="F51" s="175"/>
      <c r="G51" s="206"/>
      <c r="H51" s="368"/>
      <c r="I51" s="368"/>
      <c r="J51" s="368"/>
      <c r="K51" s="483"/>
      <c r="L51" s="195"/>
      <c r="M51" s="284"/>
    </row>
    <row r="52" spans="1:20" s="100" customFormat="1" ht="14" x14ac:dyDescent="0.3">
      <c r="A52" s="220">
        <v>100146</v>
      </c>
      <c r="B52" s="295" t="s">
        <v>431</v>
      </c>
      <c r="C52" s="4"/>
      <c r="D52" s="4"/>
      <c r="E52" s="4"/>
      <c r="F52" s="4"/>
      <c r="G52" s="648"/>
      <c r="H52" s="64">
        <f>VLOOKUP(I$5,'[13]Schls Forum'!$C:$Q,9,FALSE)</f>
        <v>212517</v>
      </c>
      <c r="I52" s="65">
        <v>0</v>
      </c>
      <c r="J52" s="22">
        <f>I52-H52</f>
        <v>-212517</v>
      </c>
      <c r="K52" s="66">
        <f>IF(P52=TRUE,"n/a",IF(H52=0,"n/a",(J52/H52)*100))</f>
        <v>-100</v>
      </c>
      <c r="O52" s="726"/>
    </row>
    <row r="53" spans="1:20" ht="5.5" customHeight="1" thickBot="1" x14ac:dyDescent="0.35">
      <c r="A53" s="220"/>
      <c r="B53" s="80"/>
      <c r="C53" s="80"/>
      <c r="D53" s="80"/>
      <c r="E53" s="80"/>
      <c r="F53" s="80"/>
      <c r="G53" s="81"/>
      <c r="H53" s="64"/>
      <c r="I53" s="65"/>
      <c r="J53" s="22"/>
      <c r="K53" s="66"/>
      <c r="L53" s="193"/>
      <c r="M53" s="82"/>
      <c r="N53" s="273"/>
      <c r="O53" s="273"/>
      <c r="P53" s="273"/>
      <c r="S53" s="278"/>
    </row>
    <row r="54" spans="1:20" s="326" customFormat="1" ht="16" thickBot="1" x14ac:dyDescent="0.4">
      <c r="A54" s="364"/>
      <c r="B54" s="378" t="s">
        <v>414</v>
      </c>
      <c r="C54" s="362"/>
      <c r="D54" s="362"/>
      <c r="E54" s="362"/>
      <c r="F54" s="362"/>
      <c r="G54" s="363" t="s">
        <v>77</v>
      </c>
      <c r="H54" s="360">
        <f>SUM(H49:H53)-H50-H42</f>
        <v>7551661.6360058635</v>
      </c>
      <c r="I54" s="360">
        <f>SUM(I49:I53)-I50-I42</f>
        <v>7979219.7090242468</v>
      </c>
      <c r="J54" s="360">
        <f>SUM(J49:J53)-J50</f>
        <v>427558.07301838388</v>
      </c>
      <c r="K54" s="361">
        <f>IF(P54=TRUE,"n/a",IF(H54=0,"n/a",(J54/H54)*100))</f>
        <v>5.6617747672884731</v>
      </c>
      <c r="L54" s="325"/>
      <c r="S54" s="327"/>
    </row>
    <row r="55" spans="1:20" ht="12.5" x14ac:dyDescent="0.25">
      <c r="A55" s="313"/>
      <c r="B55" s="314"/>
      <c r="C55" s="127"/>
      <c r="D55" s="127"/>
      <c r="E55" s="127"/>
      <c r="F55" s="127"/>
      <c r="G55" s="271"/>
      <c r="H55" s="398">
        <f>VLOOKUP($I$5,'[12]Budget Share'!$D:$Z,N55,FALSE)-H49+VLOOKUP($I$5,'[14]Final Summary 22-23'!$D:$AB,25,FALSE)</f>
        <v>9.3132257461547852E-10</v>
      </c>
      <c r="I55" s="398">
        <f>VLOOKUP($I$5,'[13]Budget Share'!$D:$Z,O55,FALSE)-I54-I42</f>
        <v>0</v>
      </c>
      <c r="J55" s="398">
        <f>I55-H55</f>
        <v>-9.3132257461547852E-10</v>
      </c>
      <c r="K55" s="82"/>
      <c r="L55" s="285"/>
      <c r="N55" s="274">
        <v>23</v>
      </c>
      <c r="O55" s="274">
        <v>23</v>
      </c>
      <c r="P55" s="273"/>
    </row>
    <row r="56" spans="1:20" s="98" customFormat="1" ht="23" x14ac:dyDescent="0.25">
      <c r="A56" s="220"/>
      <c r="B56" s="87"/>
      <c r="C56" s="87"/>
      <c r="D56" s="87"/>
      <c r="E56" s="87"/>
      <c r="F56" s="563" t="s">
        <v>148</v>
      </c>
      <c r="G56" s="563" t="s">
        <v>148</v>
      </c>
      <c r="H56" s="564" t="s">
        <v>149</v>
      </c>
      <c r="I56" s="564" t="s">
        <v>375</v>
      </c>
      <c r="J56" s="22"/>
      <c r="K56" s="66"/>
      <c r="M56" s="82"/>
      <c r="N56" s="274"/>
      <c r="O56" s="274"/>
      <c r="P56" s="287"/>
      <c r="Q56" s="287"/>
    </row>
    <row r="57" spans="1:20" x14ac:dyDescent="0.3">
      <c r="A57" s="220"/>
      <c r="B57" s="87"/>
      <c r="C57" s="87"/>
      <c r="D57" s="87"/>
      <c r="E57" s="87"/>
      <c r="F57" s="97" t="s">
        <v>459</v>
      </c>
      <c r="G57" s="97" t="s">
        <v>460</v>
      </c>
      <c r="H57" s="199">
        <f>IFERROR(VLOOKUP((VALUE(I5)),'IR 22-23'!B:F,5,FALSE),0)</f>
        <v>0</v>
      </c>
      <c r="I57" s="142">
        <f>G59</f>
        <v>0</v>
      </c>
      <c r="J57" s="22"/>
      <c r="K57" s="66"/>
      <c r="M57" s="82"/>
      <c r="N57" s="82"/>
      <c r="O57" s="286"/>
      <c r="P57" s="273"/>
      <c r="Q57" s="273"/>
    </row>
    <row r="58" spans="1:20" s="195" customFormat="1" ht="10" x14ac:dyDescent="0.2">
      <c r="A58" s="479">
        <v>100101</v>
      </c>
      <c r="B58" s="369" t="s">
        <v>221</v>
      </c>
      <c r="C58" s="369"/>
      <c r="D58" s="369"/>
      <c r="E58" s="369"/>
      <c r="F58" s="400"/>
      <c r="G58" s="400"/>
      <c r="H58" s="480">
        <f>H10*G61</f>
        <v>0</v>
      </c>
      <c r="I58" s="480">
        <f>I10*I50</f>
        <v>0</v>
      </c>
      <c r="J58" s="481">
        <f>I58-H58</f>
        <v>0</v>
      </c>
      <c r="K58" s="482" t="str">
        <f>IF(P58=TRUE,"n/a",IF(H58=0,"n/a",(J58/H58)*100))</f>
        <v>n/a</v>
      </c>
      <c r="M58" s="196"/>
      <c r="N58" s="196"/>
      <c r="O58" s="197"/>
      <c r="P58" s="198"/>
      <c r="Q58" s="198"/>
    </row>
    <row r="59" spans="1:20" s="82" customFormat="1" ht="12.5" x14ac:dyDescent="0.25">
      <c r="A59" s="220">
        <v>100143</v>
      </c>
      <c r="B59" s="207" t="s">
        <v>190</v>
      </c>
      <c r="C59" s="87"/>
      <c r="D59" s="87"/>
      <c r="E59" s="87"/>
      <c r="F59" s="142">
        <f>IFERROR(VLOOKUP($I$5,'IR Budget 2023-24'!$C:$Q,6,FALSE),0)</f>
        <v>0</v>
      </c>
      <c r="G59" s="142">
        <f>IFERROR(VLOOKUP($I$5,'IR Budget 2023-24'!$C:$Q,6,FALSE),0)</f>
        <v>0</v>
      </c>
      <c r="H59" s="336">
        <f>H57*6000</f>
        <v>0</v>
      </c>
      <c r="I59" s="170">
        <f>I57*6000</f>
        <v>0</v>
      </c>
      <c r="J59" s="22">
        <f>I59-H59</f>
        <v>0</v>
      </c>
      <c r="K59" s="66" t="str">
        <f>IF(P59=TRUE,"n/a",IF(H59=0,"n/a",(J59/H59)*100))</f>
        <v>n/a</v>
      </c>
      <c r="M59" s="99"/>
      <c r="N59" s="99"/>
      <c r="O59" s="288"/>
    </row>
    <row r="60" spans="1:20" ht="12.5" x14ac:dyDescent="0.25">
      <c r="A60" s="220">
        <v>100261</v>
      </c>
      <c r="B60" s="80" t="s">
        <v>147</v>
      </c>
      <c r="C60" s="331"/>
      <c r="D60" s="331"/>
      <c r="E60" s="331"/>
      <c r="F60" s="331"/>
      <c r="G60" s="332"/>
      <c r="H60" s="336">
        <f>IFERROR(VLOOKUP((VALUE(I5)),'IR 22-23'!B:I,8,FALSE)-H59-H58,0)</f>
        <v>0</v>
      </c>
      <c r="I60" s="170">
        <f>IFERROR(VLOOKUP(I5,'IR Budget 2023-24'!C:N,12,FALSE)-I59-I58,0)</f>
        <v>0</v>
      </c>
      <c r="J60" s="22">
        <f>I60-H60</f>
        <v>0</v>
      </c>
      <c r="K60" s="66" t="str">
        <f>IF(P60=TRUE,"n/a",IF(H60=0,"n/a",(J60/H60)*100))</f>
        <v>n/a</v>
      </c>
      <c r="O60" s="288"/>
    </row>
    <row r="61" spans="1:20" thickBot="1" x14ac:dyDescent="0.3">
      <c r="A61" s="220"/>
      <c r="B61" s="289"/>
      <c r="C61" s="87"/>
      <c r="D61" s="87"/>
      <c r="E61" s="87"/>
      <c r="F61" s="87"/>
      <c r="G61" s="565">
        <f>(H49)/H11</f>
        <v>6703.0349215910692</v>
      </c>
      <c r="H61" s="398"/>
      <c r="I61" s="398"/>
      <c r="J61" s="398"/>
      <c r="K61" s="320"/>
      <c r="O61" s="288"/>
    </row>
    <row r="62" spans="1:20" ht="14.5" thickBot="1" x14ac:dyDescent="0.35">
      <c r="A62" s="221"/>
      <c r="B62" s="3" t="s">
        <v>80</v>
      </c>
      <c r="C62" s="3"/>
      <c r="D62" s="3"/>
      <c r="E62" s="3"/>
      <c r="F62" s="3"/>
      <c r="G62" s="3" t="s">
        <v>78</v>
      </c>
      <c r="H62" s="337">
        <f>SUM(H59:H61)</f>
        <v>0</v>
      </c>
      <c r="I62" s="311">
        <f>SUM(I59:I61)</f>
        <v>0</v>
      </c>
      <c r="J62" s="311">
        <f>I62-H62</f>
        <v>0</v>
      </c>
      <c r="K62" s="312" t="str">
        <f>IF(P62=TRUE,"n/a",IF(H62=0,"n/a",(J62/H62)*100))</f>
        <v>n/a</v>
      </c>
      <c r="O62" s="288"/>
    </row>
    <row r="63" spans="1:20" ht="14" x14ac:dyDescent="0.3">
      <c r="A63" s="221"/>
      <c r="B63" s="210"/>
      <c r="C63" s="4"/>
      <c r="D63" s="4"/>
      <c r="E63" s="4"/>
      <c r="F63" s="4"/>
      <c r="G63" s="727"/>
      <c r="H63" s="724"/>
      <c r="I63" s="65"/>
      <c r="J63" s="65"/>
      <c r="K63" s="725"/>
      <c r="O63" s="288"/>
    </row>
    <row r="64" spans="1:20" ht="14" x14ac:dyDescent="0.3">
      <c r="A64" s="221" t="s">
        <v>468</v>
      </c>
      <c r="B64" s="295" t="s">
        <v>462</v>
      </c>
      <c r="C64" s="4"/>
      <c r="D64" s="4"/>
      <c r="E64" s="4"/>
      <c r="F64" s="4"/>
      <c r="G64" s="4"/>
      <c r="H64" s="737">
        <v>0</v>
      </c>
      <c r="I64" s="65">
        <f>VLOOKUP(J$5,'[13]Schls Forum'!$C:$Q,14,FALSE)</f>
        <v>258540</v>
      </c>
      <c r="J64" s="22">
        <f t="shared" ref="J64" si="5">I64-H64</f>
        <v>258540</v>
      </c>
      <c r="K64" s="66" t="str">
        <f t="shared" ref="K64" si="6">IF(P64=TRUE,"n/a",IF(H64=0,"n/a",(J64/H64)*100))</f>
        <v>n/a</v>
      </c>
      <c r="O64" s="288"/>
    </row>
    <row r="65" spans="1:17" s="98" customFormat="1" ht="13.5" thickBot="1" x14ac:dyDescent="0.35">
      <c r="A65" s="220">
        <v>100333</v>
      </c>
      <c r="B65" s="87" t="s">
        <v>382</v>
      </c>
      <c r="C65" s="200"/>
      <c r="D65" s="200"/>
      <c r="E65" s="200"/>
      <c r="F65" s="200"/>
      <c r="G65" s="201"/>
      <c r="H65" s="98">
        <f>VLOOKUP(I$5,'[13]Schls Forum'!$C:$AA,24,FALSE)</f>
        <v>364855</v>
      </c>
      <c r="I65" s="243">
        <f>VLOOKUP(J$5,'[13]Schls Forum'!$C:$AA,25,FALSE)</f>
        <v>383360</v>
      </c>
      <c r="J65" s="22">
        <f>I65-H65</f>
        <v>18505</v>
      </c>
      <c r="K65" s="66">
        <f>IF(P65=TRUE,"n/a",IF(H65=0,"n/a",(J65/H65)*100))</f>
        <v>5.0718778692905397</v>
      </c>
      <c r="M65" s="99"/>
      <c r="N65" s="99"/>
      <c r="O65" s="288"/>
    </row>
    <row r="66" spans="1:17" ht="14.5" thickBot="1" x14ac:dyDescent="0.35">
      <c r="A66" s="220"/>
      <c r="B66" s="211" t="s">
        <v>81</v>
      </c>
      <c r="C66" s="3"/>
      <c r="D66" s="3"/>
      <c r="E66" s="3"/>
      <c r="F66" s="3"/>
      <c r="G66" s="3" t="s">
        <v>79</v>
      </c>
      <c r="H66" s="317">
        <f>SUM(H64:H65)</f>
        <v>364855</v>
      </c>
      <c r="I66" s="401">
        <f>SUM(I64:I65)</f>
        <v>641900</v>
      </c>
      <c r="J66" s="401">
        <f>SUM(J64:J65)</f>
        <v>277045</v>
      </c>
      <c r="K66" s="312">
        <f>IF(P66=TRUE,"n/a",IF(H66=0,"n/a",(J66/H66)*100))</f>
        <v>75.93290485261268</v>
      </c>
      <c r="M66" s="144"/>
      <c r="N66" s="144"/>
      <c r="O66" s="205"/>
    </row>
    <row r="67" spans="1:17" ht="13.5" thickBot="1" x14ac:dyDescent="0.35">
      <c r="A67" s="221"/>
      <c r="B67" s="291"/>
      <c r="C67" s="291"/>
      <c r="D67" s="291"/>
      <c r="E67" s="291"/>
      <c r="F67" s="291"/>
      <c r="G67" s="291"/>
      <c r="H67" s="243"/>
      <c r="J67" s="98"/>
      <c r="K67" s="98"/>
      <c r="O67" s="288"/>
    </row>
    <row r="68" spans="1:17" ht="18.5" thickBot="1" x14ac:dyDescent="0.4">
      <c r="A68" s="221"/>
      <c r="B68" s="355" t="s">
        <v>134</v>
      </c>
      <c r="C68" s="356"/>
      <c r="D68" s="356"/>
      <c r="E68" s="356"/>
      <c r="F68" s="356"/>
      <c r="G68" s="357"/>
      <c r="H68" s="358">
        <f>H66+H62+H54</f>
        <v>7916516.6360058635</v>
      </c>
      <c r="I68" s="359">
        <f>I66+I62+I54</f>
        <v>8621119.7090242468</v>
      </c>
      <c r="J68" s="360">
        <f>J66+J62+J54</f>
        <v>704603.07301838393</v>
      </c>
      <c r="K68" s="361">
        <f>IF(P68=TRUE,"n/a",IF(H68=0,"n/a",(J68/H68)*100))</f>
        <v>8.9004180173602059</v>
      </c>
      <c r="M68" s="98"/>
      <c r="N68" s="98"/>
      <c r="O68" s="290"/>
    </row>
    <row r="69" spans="1:17" ht="6.75" customHeight="1" thickBot="1" x14ac:dyDescent="0.35">
      <c r="A69" s="221"/>
      <c r="B69" s="292"/>
      <c r="C69" s="4"/>
      <c r="D69" s="4"/>
      <c r="E69" s="4"/>
      <c r="F69" s="4"/>
      <c r="G69" s="4"/>
      <c r="H69" s="118"/>
      <c r="I69" s="118"/>
      <c r="J69" s="118"/>
      <c r="K69" s="119"/>
      <c r="M69" s="98"/>
      <c r="N69" s="98"/>
      <c r="O69" s="290"/>
    </row>
    <row r="70" spans="1:17" ht="16" thickBot="1" x14ac:dyDescent="0.35">
      <c r="A70" s="221"/>
      <c r="B70" s="316" t="s">
        <v>72</v>
      </c>
      <c r="C70" s="3"/>
      <c r="D70" s="3"/>
      <c r="E70" s="3"/>
      <c r="F70" s="3"/>
      <c r="G70" s="5"/>
      <c r="H70" s="337">
        <f>((H16+H17)*4%)+(H22*50%)+(H23*50%)+(H25*50%)+H32</f>
        <v>858405.80603045016</v>
      </c>
      <c r="I70" s="311">
        <f>((I16+I17)*4%)+(I22*50%)+(I23*50%)+(I25*50%)+I32</f>
        <v>934063.06059927738</v>
      </c>
      <c r="J70" s="311">
        <f>I70-H70</f>
        <v>75657.254568827222</v>
      </c>
      <c r="K70" s="402">
        <f>(J70/H70)*100</f>
        <v>8.8136932482657784</v>
      </c>
      <c r="O70" s="288"/>
    </row>
    <row r="71" spans="1:17" x14ac:dyDescent="0.3">
      <c r="A71" s="221"/>
      <c r="B71" s="320"/>
      <c r="C71" s="291"/>
      <c r="D71" s="291"/>
      <c r="E71" s="291"/>
      <c r="F71" s="291"/>
      <c r="G71" s="291"/>
      <c r="H71" s="243"/>
      <c r="J71" s="98"/>
      <c r="K71" s="98"/>
      <c r="M71" s="82"/>
      <c r="N71" s="82"/>
      <c r="O71" s="286"/>
    </row>
    <row r="72" spans="1:17" s="326" customFormat="1" ht="15.5" x14ac:dyDescent="0.35">
      <c r="A72" s="324"/>
      <c r="B72" s="352" t="s">
        <v>11</v>
      </c>
      <c r="C72" s="353"/>
      <c r="D72" s="353"/>
      <c r="E72" s="353"/>
      <c r="F72" s="353"/>
      <c r="G72" s="354"/>
      <c r="H72" s="379">
        <f>H68/H11</f>
        <v>6974.9045251152984</v>
      </c>
      <c r="I72" s="380">
        <f>I68/I11</f>
        <v>7555.7578519055623</v>
      </c>
      <c r="J72" s="380">
        <f>I72-H72</f>
        <v>580.85332679026396</v>
      </c>
      <c r="K72" s="381">
        <f>J72/H72*100</f>
        <v>8.3277602539034348</v>
      </c>
      <c r="N72" s="349"/>
    </row>
    <row r="73" spans="1:17" s="326" customFormat="1" ht="15.5" x14ac:dyDescent="0.35">
      <c r="A73" s="324"/>
      <c r="B73" s="345" t="s">
        <v>364</v>
      </c>
      <c r="C73" s="344"/>
      <c r="D73" s="344"/>
      <c r="E73" s="344"/>
      <c r="F73" s="344"/>
      <c r="G73" s="344"/>
      <c r="H73" s="346">
        <f>(H54-H39)/H11</f>
        <v>6653.4463753355622</v>
      </c>
      <c r="I73" s="346">
        <f>(I54-I39)/I11</f>
        <v>6993.1811647889981</v>
      </c>
      <c r="J73" s="347">
        <f>I73-H73</f>
        <v>339.73478945343595</v>
      </c>
      <c r="K73" s="348">
        <f>(J73/H73)*100</f>
        <v>5.1061475555411189</v>
      </c>
      <c r="N73" s="349"/>
    </row>
    <row r="74" spans="1:17" ht="13.5" thickBot="1" x14ac:dyDescent="0.35">
      <c r="A74" s="221"/>
      <c r="B74" s="322"/>
      <c r="C74" s="127"/>
      <c r="D74" s="127"/>
      <c r="E74" s="127"/>
      <c r="F74" s="127"/>
      <c r="G74" s="127"/>
      <c r="J74" s="243"/>
      <c r="K74" s="323"/>
      <c r="O74" s="288"/>
    </row>
    <row r="75" spans="1:17" s="144" customFormat="1" ht="14.5" thickBot="1" x14ac:dyDescent="0.35">
      <c r="A75" s="281"/>
      <c r="B75" s="3" t="s">
        <v>63</v>
      </c>
      <c r="C75" s="3"/>
      <c r="D75" s="3"/>
      <c r="E75" s="3"/>
      <c r="F75" s="3"/>
      <c r="G75" s="5"/>
      <c r="H75" s="311">
        <f>H54</f>
        <v>7551661.6360058635</v>
      </c>
      <c r="I75" s="311">
        <f>I54</f>
        <v>7979219.7090242468</v>
      </c>
      <c r="J75" s="311">
        <f>I75-H75</f>
        <v>427558.07301838323</v>
      </c>
      <c r="K75" s="312">
        <f>IF(P75=TRUE,"n/a",IF(H75=0,"n/a",(J75/H75)*100))</f>
        <v>5.6617747672884651</v>
      </c>
      <c r="M75" s="99"/>
      <c r="N75" s="99"/>
      <c r="O75" s="254"/>
    </row>
    <row r="76" spans="1:17" s="144" customFormat="1" ht="14.5" thickBot="1" x14ac:dyDescent="0.35">
      <c r="A76" s="281"/>
      <c r="B76" s="3" t="s">
        <v>64</v>
      </c>
      <c r="C76" s="3"/>
      <c r="D76" s="3"/>
      <c r="E76" s="3"/>
      <c r="F76" s="3"/>
      <c r="G76" s="5"/>
      <c r="H76" s="311">
        <f>-VLOOKUP($I5,'[12]Add Deleg'!$C:$H,6,FALSE)</f>
        <v>-30848.579126363675</v>
      </c>
      <c r="I76" s="311">
        <f>-VLOOKUP($I5,'[13]Add Deleg'!$C:$H,6,FALSE)</f>
        <v>-30453.289999999997</v>
      </c>
      <c r="J76" s="311">
        <f>I76-H76</f>
        <v>395.2891263636775</v>
      </c>
      <c r="K76" s="312">
        <f>IF(P76=TRUE,"n/a",IF(H76=0,"n/a",(J76/H76)*100))</f>
        <v>-1.2813851968496575</v>
      </c>
      <c r="M76" s="99"/>
      <c r="N76" s="99"/>
      <c r="O76" s="254"/>
    </row>
    <row r="77" spans="1:17" s="144" customFormat="1" ht="14.5" thickBot="1" x14ac:dyDescent="0.35">
      <c r="A77" s="293"/>
      <c r="B77" s="3" t="s">
        <v>65</v>
      </c>
      <c r="C77" s="3"/>
      <c r="D77" s="3"/>
      <c r="E77" s="3"/>
      <c r="F77" s="3"/>
      <c r="G77" s="5"/>
      <c r="H77" s="311">
        <f>SUM(H75:H76)</f>
        <v>7520813.0568794999</v>
      </c>
      <c r="I77" s="311">
        <f>SUM(I75:I76)</f>
        <v>7948766.4190242467</v>
      </c>
      <c r="J77" s="311">
        <f>SUM(J75:J76)</f>
        <v>427953.36214474693</v>
      </c>
      <c r="K77" s="312">
        <f>IF(P77=TRUE,"n/a",IF(H77=0,"n/a",(J77/H77)*100))</f>
        <v>5.6902539513767847</v>
      </c>
      <c r="M77" s="99"/>
      <c r="N77" s="99"/>
      <c r="O77" s="254"/>
    </row>
    <row r="78" spans="1:17" s="144" customFormat="1" ht="14" x14ac:dyDescent="0.3">
      <c r="A78" s="294"/>
      <c r="B78" s="4"/>
      <c r="C78" s="4"/>
      <c r="D78" s="4"/>
      <c r="E78" s="4"/>
      <c r="F78" s="4"/>
      <c r="G78" s="4"/>
      <c r="H78" s="131"/>
      <c r="I78" s="105"/>
      <c r="J78" s="105"/>
      <c r="K78" s="132"/>
      <c r="M78" s="99"/>
      <c r="N78" s="99"/>
      <c r="O78" s="254"/>
    </row>
    <row r="79" spans="1:17" ht="14" hidden="1" outlineLevel="1" x14ac:dyDescent="0.3">
      <c r="B79" s="295" t="s">
        <v>111</v>
      </c>
      <c r="C79" s="295" t="s">
        <v>112</v>
      </c>
      <c r="D79" s="295" t="s">
        <v>113</v>
      </c>
      <c r="E79" s="295" t="s">
        <v>114</v>
      </c>
      <c r="F79" s="295" t="s">
        <v>115</v>
      </c>
      <c r="G79" s="295" t="s">
        <v>116</v>
      </c>
      <c r="H79" s="99"/>
      <c r="I79" s="99"/>
      <c r="O79" s="99"/>
      <c r="Q79" s="254"/>
    </row>
    <row r="80" spans="1:17" hidden="1" outlineLevel="1" x14ac:dyDescent="0.3">
      <c r="A80" s="116">
        <v>1</v>
      </c>
      <c r="B80" s="388" t="s">
        <v>136</v>
      </c>
      <c r="C80" s="301">
        <v>1</v>
      </c>
      <c r="D80" s="389" t="s">
        <v>366</v>
      </c>
      <c r="E80" s="388">
        <v>4259</v>
      </c>
      <c r="F80" s="248">
        <v>0</v>
      </c>
      <c r="G80" s="251">
        <v>0</v>
      </c>
      <c r="H80" s="99"/>
      <c r="I80" s="99"/>
      <c r="O80" s="99"/>
      <c r="Q80" s="254"/>
    </row>
    <row r="81" spans="2:9" hidden="1" outlineLevel="1" x14ac:dyDescent="0.3">
      <c r="B81" s="388"/>
      <c r="C81" s="301"/>
      <c r="D81" s="301"/>
      <c r="E81" s="301"/>
      <c r="F81" s="389"/>
      <c r="G81" s="388"/>
      <c r="H81" s="248"/>
      <c r="I81" s="251"/>
    </row>
    <row r="82" spans="2:9" hidden="1" outlineLevel="1" x14ac:dyDescent="0.3">
      <c r="B82" s="388"/>
      <c r="C82" s="301"/>
      <c r="D82" s="301"/>
      <c r="E82" s="301"/>
      <c r="F82" s="389"/>
      <c r="G82" s="388"/>
      <c r="H82" s="248"/>
      <c r="I82" s="251"/>
    </row>
    <row r="83" spans="2:9" hidden="1" outlineLevel="1" x14ac:dyDescent="0.3">
      <c r="B83" s="388"/>
      <c r="C83" s="301"/>
      <c r="D83" s="301"/>
      <c r="E83" s="301"/>
      <c r="F83" s="389"/>
      <c r="G83" s="388"/>
      <c r="H83" s="248"/>
      <c r="I83" s="251"/>
    </row>
    <row r="84" spans="2:9" collapsed="1" x14ac:dyDescent="0.3"/>
  </sheetData>
  <mergeCells count="1">
    <mergeCell ref="J1:K2"/>
  </mergeCells>
  <conditionalFormatting sqref="Q15 O74 O67:O70 Q48 P56:Q58 M16:M19 M21:M48 O59:O65 O52">
    <cfRule type="cellIs" dxfId="14" priority="10" stopIfTrue="1" operator="equal">
      <formula>TRUE</formula>
    </cfRule>
  </conditionalFormatting>
  <conditionalFormatting sqref="P48">
    <cfRule type="cellIs" dxfId="13" priority="8" stopIfTrue="1" operator="equal">
      <formula>TRUE</formula>
    </cfRule>
  </conditionalFormatting>
  <conditionalFormatting sqref="P47">
    <cfRule type="cellIs" dxfId="12" priority="9" stopIfTrue="1" operator="equal">
      <formula>TRUE</formula>
    </cfRule>
  </conditionalFormatting>
  <conditionalFormatting sqref="O48">
    <cfRule type="cellIs" dxfId="11" priority="7" stopIfTrue="1" operator="equal">
      <formula>TRUE</formula>
    </cfRule>
  </conditionalFormatting>
  <conditionalFormatting sqref="O53:P53 P55">
    <cfRule type="cellIs" dxfId="10" priority="4" stopIfTrue="1" operator="equal">
      <formula>TRUE</formula>
    </cfRule>
  </conditionalFormatting>
  <conditionalFormatting sqref="M20">
    <cfRule type="cellIs" dxfId="9" priority="5" stopIfTrue="1" operator="equal">
      <formula>TRUE</formula>
    </cfRule>
  </conditionalFormatting>
  <conditionalFormatting sqref="N53">
    <cfRule type="cellIs" dxfId="8" priority="1" stopIfTrue="1" operator="equal">
      <formula>TRUE</formula>
    </cfRule>
  </conditionalFormatting>
  <conditionalFormatting sqref="N48">
    <cfRule type="cellIs" dxfId="7" priority="2" stopIfTrue="1" operator="equal">
      <formula>TRUE</formula>
    </cfRule>
  </conditionalFormatting>
  <hyperlinks>
    <hyperlink ref="J1:K2" location="Instructions!C17" tooltip="Link to Instructions" display="Back to Main Menu" xr:uid="{00000000-0004-0000-0600-000000000000}"/>
  </hyperlinks>
  <pageMargins left="0.19125" right="0.16" top="0.22" bottom="0.4" header="0.2" footer="0.16"/>
  <pageSetup paperSize="9" scale="74" orientation="portrait" horizontalDpi="1200" verticalDpi="1200" r:id="rId1"/>
  <headerFooter alignWithMargins="0">
    <oddFooter>&amp;L&amp;8For queries please contact:  jacky.beatson@sheffield.gov.uk&amp;R&amp;9&amp;D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6" r:id="rId4" name="Drop Down 4">
              <controlPr defaultSize="0" print="0" autoLine="0" autoPict="0" altText="Drop down list of Maintained Secondary Schools">
                <anchor moveWithCells="1">
                  <from>
                    <xdr:col>1</xdr:col>
                    <xdr:colOff>63500</xdr:colOff>
                    <xdr:row>1</xdr:row>
                    <xdr:rowOff>69850</xdr:rowOff>
                  </from>
                  <to>
                    <xdr:col>2</xdr:col>
                    <xdr:colOff>196850</xdr:colOff>
                    <xdr:row>1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B4E0-D1C2-4A10-8165-6590209C453D}">
  <sheetPr>
    <pageSetUpPr fitToPage="1"/>
  </sheetPr>
  <dimension ref="A1:S23"/>
  <sheetViews>
    <sheetView showGridLines="0" showRowColHeaders="0" zoomScale="106" zoomScaleNormal="106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1" sqref="I1:J2"/>
    </sheetView>
  </sheetViews>
  <sheetFormatPr defaultColWidth="10.54296875" defaultRowHeight="15.5" x14ac:dyDescent="0.35"/>
  <cols>
    <col min="1" max="1" width="8.81640625" style="234" bestFit="1" customWidth="1"/>
    <col min="2" max="2" width="45.90625" style="455" bestFit="1" customWidth="1"/>
    <col min="3" max="3" width="13" style="455" bestFit="1" customWidth="1"/>
    <col min="4" max="5" width="13" style="455" customWidth="1"/>
    <col min="6" max="6" width="13.453125" style="455" customWidth="1"/>
    <col min="7" max="10" width="12.6328125" style="455" customWidth="1"/>
    <col min="11" max="11" width="14" style="234" customWidth="1"/>
    <col min="12" max="12" width="12.26953125" style="234" bestFit="1" customWidth="1"/>
    <col min="13" max="13" width="3.453125" style="234" customWidth="1"/>
    <col min="14" max="14" width="9.54296875" style="234" customWidth="1"/>
    <col min="15" max="15" width="18.08984375" style="234" customWidth="1"/>
    <col min="16" max="16" width="3.453125" style="234" customWidth="1"/>
    <col min="17" max="17" width="14" style="234" customWidth="1"/>
    <col min="18" max="18" width="14.7265625" style="234" customWidth="1"/>
    <col min="19" max="19" width="9.6328125" style="234" bestFit="1" customWidth="1"/>
    <col min="20" max="16384" width="10.54296875" style="455"/>
  </cols>
  <sheetData>
    <row r="1" spans="1:19" ht="32.5" x14ac:dyDescent="0.65">
      <c r="A1" s="453" t="s">
        <v>469</v>
      </c>
      <c r="B1" s="454"/>
      <c r="G1" s="456"/>
      <c r="H1" s="456"/>
      <c r="I1" s="756" t="s">
        <v>76</v>
      </c>
      <c r="J1" s="757"/>
      <c r="Q1" s="761"/>
      <c r="R1" s="761"/>
    </row>
    <row r="2" spans="1:19" ht="33" thickBot="1" x14ac:dyDescent="0.7">
      <c r="A2" s="453"/>
      <c r="B2" s="454"/>
      <c r="I2" s="758"/>
      <c r="J2" s="759"/>
    </row>
    <row r="3" spans="1:19" ht="77.5" x14ac:dyDescent="0.35">
      <c r="A3" s="746" t="s">
        <v>114</v>
      </c>
      <c r="B3" s="487" t="s">
        <v>111</v>
      </c>
      <c r="C3" s="235" t="s">
        <v>470</v>
      </c>
      <c r="D3" s="235" t="s">
        <v>471</v>
      </c>
      <c r="E3" s="235" t="s">
        <v>472</v>
      </c>
      <c r="F3" s="235" t="s">
        <v>473</v>
      </c>
      <c r="G3" s="236" t="s">
        <v>474</v>
      </c>
      <c r="H3" s="236" t="s">
        <v>475</v>
      </c>
      <c r="I3" s="747" t="str">
        <f>'[15]23 24 rates'!I2</f>
        <v>Specialist Additional Grant @ 3.4%
£</v>
      </c>
      <c r="J3" s="236" t="s">
        <v>476</v>
      </c>
      <c r="K3" s="236" t="s">
        <v>246</v>
      </c>
      <c r="L3" s="236" t="s">
        <v>247</v>
      </c>
      <c r="N3" s="236" t="s">
        <v>392</v>
      </c>
      <c r="O3" s="236" t="s">
        <v>372</v>
      </c>
      <c r="Q3" s="237" t="s">
        <v>393</v>
      </c>
      <c r="R3" s="237" t="s">
        <v>394</v>
      </c>
    </row>
    <row r="4" spans="1:19" ht="16" thickBot="1" x14ac:dyDescent="0.4">
      <c r="A4" s="457">
        <v>7023</v>
      </c>
      <c r="B4" s="458" t="s">
        <v>477</v>
      </c>
      <c r="C4" s="459">
        <v>95</v>
      </c>
      <c r="D4" s="748">
        <v>95</v>
      </c>
      <c r="E4" s="748">
        <f>(C4*5/12)+(D4*7/12)</f>
        <v>95</v>
      </c>
      <c r="F4" s="460">
        <f>VLOOKUP(A4,'[15]23 24 rates'!$A$3:$E$13,5,FALSE)</f>
        <v>21189.974932637899</v>
      </c>
      <c r="G4" s="238">
        <f>E4*F4</f>
        <v>2013047.6186006004</v>
      </c>
      <c r="H4" s="238">
        <f>E4*'[15]23 24 rates'!$L$1</f>
        <v>62700</v>
      </c>
      <c r="I4" s="749">
        <f>VLOOKUP(A4,'[15]23 24 rates'!$A$3:$I$13,9,FALSE)</f>
        <v>733.28215973703277</v>
      </c>
      <c r="J4" s="238">
        <f>(E4-N4)*I4</f>
        <v>69661.805175018118</v>
      </c>
      <c r="K4" s="238"/>
      <c r="L4" s="238">
        <f>G4+H4+J4+K4</f>
        <v>2145409.4237756184</v>
      </c>
      <c r="N4" s="238"/>
      <c r="O4" s="238">
        <f>N4*((F4-10000)+660+I4)*-1</f>
        <v>0</v>
      </c>
      <c r="Q4" s="461">
        <f>C4*10000</f>
        <v>950000</v>
      </c>
      <c r="R4" s="461">
        <f>L4-Q4+O4</f>
        <v>1195409.4237756184</v>
      </c>
      <c r="S4" s="244">
        <f>SUM(Q4:R4)-L4-O4</f>
        <v>0</v>
      </c>
    </row>
    <row r="5" spans="1:19" ht="16" thickBot="1" x14ac:dyDescent="0.4">
      <c r="A5" s="457">
        <v>7038</v>
      </c>
      <c r="B5" s="458" t="s">
        <v>478</v>
      </c>
      <c r="C5" s="459">
        <v>65</v>
      </c>
      <c r="D5" s="748">
        <v>65</v>
      </c>
      <c r="E5" s="748">
        <f t="shared" ref="E5:E14" si="0">(C5*5/12)+(D5*7/12)</f>
        <v>65</v>
      </c>
      <c r="F5" s="460">
        <f>VLOOKUP(A5,'[15]23 24 rates'!$A$3:$E$13,5,FALSE)</f>
        <v>19880.03</v>
      </c>
      <c r="G5" s="238">
        <f>E5*F5</f>
        <v>1292201.95</v>
      </c>
      <c r="H5" s="238">
        <f>E5*'[15]23 24 rates'!$L$1</f>
        <v>42900</v>
      </c>
      <c r="I5" s="749">
        <f>VLOOKUP(A5,'[15]23 24 rates'!$A$3:$I$13,9,FALSE)</f>
        <v>690.04125904801481</v>
      </c>
      <c r="J5" s="238">
        <f t="shared" ref="J5:J15" si="1">(E5-N5)*I5</f>
        <v>44852.68183812096</v>
      </c>
      <c r="K5" s="238">
        <v>26000</v>
      </c>
      <c r="L5" s="238">
        <f t="shared" ref="L5:L15" si="2">G5+H5+J5+K5</f>
        <v>1405954.631838121</v>
      </c>
      <c r="N5" s="238"/>
      <c r="O5" s="238">
        <f t="shared" ref="O5:O15" si="3">N5*((F5-10000)+660+I5)*-1</f>
        <v>0</v>
      </c>
      <c r="Q5" s="461">
        <f>C5*10000</f>
        <v>650000</v>
      </c>
      <c r="R5" s="461">
        <f t="shared" ref="R5:R15" si="4">L5-Q5+O5</f>
        <v>755954.63183812099</v>
      </c>
      <c r="S5" s="244">
        <f t="shared" ref="S5:S15" si="5">SUM(Q5:R5)-L5-O5</f>
        <v>0</v>
      </c>
    </row>
    <row r="6" spans="1:19" ht="16" thickBot="1" x14ac:dyDescent="0.4">
      <c r="A6" s="457">
        <v>7010</v>
      </c>
      <c r="B6" s="458" t="s">
        <v>250</v>
      </c>
      <c r="C6" s="459">
        <f>256+50</f>
        <v>306</v>
      </c>
      <c r="D6" s="748">
        <v>306</v>
      </c>
      <c r="E6" s="748">
        <f t="shared" si="0"/>
        <v>306</v>
      </c>
      <c r="F6" s="460">
        <f>VLOOKUP(A6,'[15]23 24 rates'!$A$3:$E$13,5,FALSE)</f>
        <v>19523.762037333632</v>
      </c>
      <c r="G6" s="238">
        <f t="shared" ref="G6:G15" si="6">E6*F6</f>
        <v>5974271.1834240919</v>
      </c>
      <c r="H6" s="238">
        <f>E6*'[15]23 24 rates'!$L$1</f>
        <v>201960</v>
      </c>
      <c r="I6" s="749">
        <f>VLOOKUP(A6,'[15]23 24 rates'!$A$3:$I$13,9,FALSE)</f>
        <v>678.28095736776572</v>
      </c>
      <c r="J6" s="238">
        <f t="shared" si="1"/>
        <v>207553.97295453632</v>
      </c>
      <c r="K6" s="238"/>
      <c r="L6" s="238">
        <f t="shared" si="2"/>
        <v>6383785.1563786287</v>
      </c>
      <c r="N6" s="238"/>
      <c r="O6" s="238">
        <f t="shared" si="3"/>
        <v>0</v>
      </c>
      <c r="Q6" s="461">
        <f t="shared" ref="Q6:Q15" si="7">C6*10000</f>
        <v>3060000</v>
      </c>
      <c r="R6" s="461">
        <f t="shared" si="4"/>
        <v>3323785.1563786287</v>
      </c>
      <c r="S6" s="244">
        <f t="shared" si="5"/>
        <v>0</v>
      </c>
    </row>
    <row r="7" spans="1:19" ht="16" thickBot="1" x14ac:dyDescent="0.4">
      <c r="A7" s="457">
        <v>7000</v>
      </c>
      <c r="B7" s="458" t="s">
        <v>479</v>
      </c>
      <c r="C7" s="459">
        <v>60</v>
      </c>
      <c r="D7" s="748">
        <v>80</v>
      </c>
      <c r="E7" s="748">
        <f t="shared" si="0"/>
        <v>71.666666666666657</v>
      </c>
      <c r="F7" s="460">
        <f>VLOOKUP(A7,'[15]23 24 rates'!$A$3:$E$13,5,FALSE)</f>
        <v>21630</v>
      </c>
      <c r="G7" s="238">
        <f t="shared" si="6"/>
        <v>1550149.9999999998</v>
      </c>
      <c r="H7" s="238">
        <f>E7*'[15]23 24 rates'!$L$1</f>
        <v>47299.999999999993</v>
      </c>
      <c r="I7" s="749">
        <f>VLOOKUP(A7,'[15]23 24 rates'!$A$3:$I$13,9,FALSE)</f>
        <v>747.79600000000005</v>
      </c>
      <c r="J7" s="238">
        <f t="shared" si="1"/>
        <v>53592.046666666662</v>
      </c>
      <c r="K7" s="238"/>
      <c r="L7" s="238">
        <f t="shared" si="2"/>
        <v>1651042.0466666664</v>
      </c>
      <c r="N7" s="238"/>
      <c r="O7" s="238">
        <f t="shared" si="3"/>
        <v>0</v>
      </c>
      <c r="Q7" s="461">
        <f t="shared" si="7"/>
        <v>600000</v>
      </c>
      <c r="R7" s="461">
        <f t="shared" si="4"/>
        <v>1051042.0466666664</v>
      </c>
      <c r="S7" s="244">
        <f t="shared" si="5"/>
        <v>0</v>
      </c>
    </row>
    <row r="8" spans="1:19" ht="16" thickBot="1" x14ac:dyDescent="0.4">
      <c r="A8" s="457">
        <v>7040</v>
      </c>
      <c r="B8" s="458" t="s">
        <v>251</v>
      </c>
      <c r="C8" s="459">
        <v>100</v>
      </c>
      <c r="D8" s="748">
        <v>100</v>
      </c>
      <c r="E8" s="748">
        <f t="shared" si="0"/>
        <v>100</v>
      </c>
      <c r="F8" s="460">
        <f>VLOOKUP(A8,'[15]23 24 rates'!$A$3:$E$13,5,FALSE)</f>
        <v>21865.067289752726</v>
      </c>
      <c r="G8" s="238">
        <f t="shared" si="6"/>
        <v>2186506.7289752727</v>
      </c>
      <c r="H8" s="238">
        <f>E8*'[15]23 24 rates'!$L$1</f>
        <v>66000</v>
      </c>
      <c r="I8" s="749">
        <f>VLOOKUP(A8,'[15]23 24 rates'!$A$3:$I$13,9,FALSE)</f>
        <v>755.56676181655143</v>
      </c>
      <c r="J8" s="238">
        <f t="shared" si="1"/>
        <v>72534.40913438893</v>
      </c>
      <c r="K8" s="238"/>
      <c r="L8" s="238">
        <f t="shared" si="2"/>
        <v>2325041.1381096616</v>
      </c>
      <c r="N8" s="238">
        <v>4</v>
      </c>
      <c r="O8" s="238">
        <f t="shared" si="3"/>
        <v>-53122.536206277109</v>
      </c>
      <c r="Q8" s="461">
        <f t="shared" si="7"/>
        <v>1000000</v>
      </c>
      <c r="R8" s="461">
        <f t="shared" si="4"/>
        <v>1271918.6019033846</v>
      </c>
      <c r="S8" s="244">
        <f t="shared" si="5"/>
        <v>0</v>
      </c>
    </row>
    <row r="9" spans="1:19" ht="16" thickBot="1" x14ac:dyDescent="0.4">
      <c r="A9" s="457">
        <v>7041</v>
      </c>
      <c r="B9" s="458" t="s">
        <v>252</v>
      </c>
      <c r="C9" s="459">
        <v>95</v>
      </c>
      <c r="D9" s="748">
        <v>95</v>
      </c>
      <c r="E9" s="748">
        <f t="shared" si="0"/>
        <v>95</v>
      </c>
      <c r="F9" s="460">
        <f>VLOOKUP(A9,'[15]23 24 rates'!$A$3:$E$13,5,FALSE)</f>
        <v>21450.151416770848</v>
      </c>
      <c r="G9" s="238">
        <f t="shared" si="6"/>
        <v>2037764.3845932307</v>
      </c>
      <c r="H9" s="238">
        <f>E9*'[15]23 24 rates'!$L$1</f>
        <v>62700</v>
      </c>
      <c r="I9" s="749">
        <f>VLOOKUP(A9,'[15]23 24 rates'!$A$3:$I$13,9,FALSE)</f>
        <v>741.87050969870302</v>
      </c>
      <c r="J9" s="238">
        <f t="shared" si="1"/>
        <v>63058.993324389754</v>
      </c>
      <c r="K9" s="238"/>
      <c r="L9" s="238">
        <f t="shared" si="2"/>
        <v>2163523.3779176204</v>
      </c>
      <c r="N9" s="238">
        <v>10</v>
      </c>
      <c r="O9" s="238">
        <f t="shared" si="3"/>
        <v>-128520.21926469551</v>
      </c>
      <c r="Q9" s="461">
        <f t="shared" si="7"/>
        <v>950000</v>
      </c>
      <c r="R9" s="461">
        <f t="shared" si="4"/>
        <v>1085003.1586529249</v>
      </c>
      <c r="S9" s="244">
        <f t="shared" si="5"/>
        <v>0</v>
      </c>
    </row>
    <row r="10" spans="1:19" ht="16" thickBot="1" x14ac:dyDescent="0.4">
      <c r="A10" s="457">
        <v>5950</v>
      </c>
      <c r="B10" s="458" t="s">
        <v>480</v>
      </c>
      <c r="C10" s="459">
        <v>107</v>
      </c>
      <c r="D10" s="748">
        <v>128</v>
      </c>
      <c r="E10" s="748">
        <f t="shared" si="0"/>
        <v>119.25</v>
      </c>
      <c r="F10" s="460">
        <f>F5</f>
        <v>19880.03</v>
      </c>
      <c r="G10" s="238">
        <f t="shared" si="6"/>
        <v>2370693.5774999997</v>
      </c>
      <c r="H10" s="238">
        <f>E10*'[15]23 24 rates'!$L$1</f>
        <v>78705</v>
      </c>
      <c r="I10" s="749">
        <f>'[15]23 24 rates'!I4</f>
        <v>690.04125904801481</v>
      </c>
      <c r="J10" s="238">
        <f t="shared" si="1"/>
        <v>77457.131328139658</v>
      </c>
      <c r="K10" s="238"/>
      <c r="L10" s="238">
        <f t="shared" si="2"/>
        <v>2526855.7088281391</v>
      </c>
      <c r="N10" s="238">
        <v>7</v>
      </c>
      <c r="O10" s="238">
        <f t="shared" si="3"/>
        <v>-78610.498813336104</v>
      </c>
      <c r="Q10" s="461">
        <f t="shared" si="7"/>
        <v>1070000</v>
      </c>
      <c r="R10" s="461">
        <f t="shared" si="4"/>
        <v>1378245.2100148031</v>
      </c>
      <c r="S10" s="244">
        <f t="shared" si="5"/>
        <v>3.2014213502407074E-10</v>
      </c>
    </row>
    <row r="11" spans="1:19" ht="16" thickBot="1" x14ac:dyDescent="0.4">
      <c r="A11" s="457">
        <v>7036</v>
      </c>
      <c r="B11" s="458" t="s">
        <v>253</v>
      </c>
      <c r="C11" s="459">
        <v>161</v>
      </c>
      <c r="D11" s="748">
        <v>161</v>
      </c>
      <c r="E11" s="748">
        <f t="shared" si="0"/>
        <v>161</v>
      </c>
      <c r="F11" s="460">
        <f>VLOOKUP(A11,'[15]23 24 rates'!$A$3:$E$13,5,FALSE)</f>
        <v>20173.509838669081</v>
      </c>
      <c r="G11" s="238">
        <f t="shared" si="6"/>
        <v>3247935.084025722</v>
      </c>
      <c r="H11" s="238">
        <f>E11*'[15]23 24 rates'!$L$1</f>
        <v>106260</v>
      </c>
      <c r="I11" s="749">
        <f>VLOOKUP(A11,'[15]23 24 rates'!$A$3:$I$13,9,FALSE)</f>
        <v>699.72894304291651</v>
      </c>
      <c r="J11" s="238">
        <f t="shared" si="1"/>
        <v>112656.35982990956</v>
      </c>
      <c r="K11" s="238"/>
      <c r="L11" s="238">
        <f t="shared" si="2"/>
        <v>3466851.4438556316</v>
      </c>
      <c r="N11" s="238"/>
      <c r="O11" s="238">
        <f t="shared" si="3"/>
        <v>0</v>
      </c>
      <c r="Q11" s="461">
        <f t="shared" si="7"/>
        <v>1610000</v>
      </c>
      <c r="R11" s="461">
        <f t="shared" si="4"/>
        <v>1856851.4438556316</v>
      </c>
      <c r="S11" s="244">
        <f t="shared" si="5"/>
        <v>0</v>
      </c>
    </row>
    <row r="12" spans="1:19" ht="16" thickBot="1" x14ac:dyDescent="0.4">
      <c r="A12" s="457">
        <v>7043</v>
      </c>
      <c r="B12" s="458" t="s">
        <v>255</v>
      </c>
      <c r="C12" s="459">
        <v>212</v>
      </c>
      <c r="D12" s="748">
        <v>212</v>
      </c>
      <c r="E12" s="748">
        <f t="shared" si="0"/>
        <v>212</v>
      </c>
      <c r="F12" s="460">
        <f>VLOOKUP(A12,'[15]23 24 rates'!$A$3:$E$13,5,FALSE)</f>
        <v>20169.457437274468</v>
      </c>
      <c r="G12" s="238">
        <f t="shared" si="6"/>
        <v>4275924.9767021872</v>
      </c>
      <c r="H12" s="238">
        <f>E12*'[15]23 24 rates'!$L$1</f>
        <v>139920</v>
      </c>
      <c r="I12" s="749">
        <f>VLOOKUP(A12,'[15]23 24 rates'!$A$3:$I$13,9,FALSE)</f>
        <v>699.59517445319148</v>
      </c>
      <c r="J12" s="238">
        <f t="shared" si="1"/>
        <v>148314.17698407659</v>
      </c>
      <c r="K12" s="238"/>
      <c r="L12" s="238">
        <f t="shared" si="2"/>
        <v>4564159.1536862636</v>
      </c>
      <c r="N12" s="238"/>
      <c r="O12" s="238">
        <f t="shared" si="3"/>
        <v>0</v>
      </c>
      <c r="Q12" s="461">
        <f t="shared" si="7"/>
        <v>2120000</v>
      </c>
      <c r="R12" s="461">
        <f t="shared" si="4"/>
        <v>2444159.1536862636</v>
      </c>
      <c r="S12" s="244">
        <f t="shared" si="5"/>
        <v>0</v>
      </c>
    </row>
    <row r="13" spans="1:19" ht="16" thickBot="1" x14ac:dyDescent="0.4">
      <c r="A13" s="457">
        <v>7024</v>
      </c>
      <c r="B13" s="458" t="s">
        <v>256</v>
      </c>
      <c r="C13" s="459">
        <v>219</v>
      </c>
      <c r="D13" s="748">
        <v>219</v>
      </c>
      <c r="E13" s="748">
        <f t="shared" si="0"/>
        <v>219</v>
      </c>
      <c r="F13" s="460">
        <f>VLOOKUP(A13,'[15]23 24 rates'!$A$3:$E$13,5,FALSE)</f>
        <v>21264.010318637884</v>
      </c>
      <c r="G13" s="238">
        <f t="shared" si="6"/>
        <v>4656818.2597816968</v>
      </c>
      <c r="H13" s="238">
        <f>E13*'[15]23 24 rates'!$L$1</f>
        <v>144540</v>
      </c>
      <c r="I13" s="749">
        <f>VLOOKUP(A13,'[15]23 24 rates'!$A$3:$I$13,9,FALSE)</f>
        <v>735.72604626518762</v>
      </c>
      <c r="J13" s="238">
        <f t="shared" si="1"/>
        <v>161124.00413207608</v>
      </c>
      <c r="K13" s="239">
        <v>372034</v>
      </c>
      <c r="L13" s="238">
        <f t="shared" si="2"/>
        <v>5334516.263913773</v>
      </c>
      <c r="N13" s="238"/>
      <c r="O13" s="238">
        <f t="shared" si="3"/>
        <v>0</v>
      </c>
      <c r="Q13" s="461">
        <f t="shared" si="7"/>
        <v>2190000</v>
      </c>
      <c r="R13" s="461">
        <f t="shared" si="4"/>
        <v>3144516.263913773</v>
      </c>
      <c r="S13" s="244">
        <f t="shared" si="5"/>
        <v>0</v>
      </c>
    </row>
    <row r="14" spans="1:19" ht="16" thickBot="1" x14ac:dyDescent="0.4">
      <c r="A14" s="457">
        <v>7013</v>
      </c>
      <c r="B14" s="458" t="s">
        <v>257</v>
      </c>
      <c r="C14" s="459">
        <v>98</v>
      </c>
      <c r="D14" s="748">
        <v>98</v>
      </c>
      <c r="E14" s="748">
        <f t="shared" si="0"/>
        <v>98</v>
      </c>
      <c r="F14" s="460">
        <f>VLOOKUP(A14,'[15]23 24 rates'!$A$3:$E$13,5,FALSE)</f>
        <v>19952.983454053141</v>
      </c>
      <c r="G14" s="238">
        <f t="shared" si="6"/>
        <v>1955392.3784972078</v>
      </c>
      <c r="H14" s="238">
        <f>E14*'[15]23 24 rates'!$L$1</f>
        <v>64680</v>
      </c>
      <c r="I14" s="749">
        <f>VLOOKUP(A14,'[15]23 24 rates'!$A$3:$I$13,9,FALSE)</f>
        <v>692.44943131773016</v>
      </c>
      <c r="J14" s="238">
        <f t="shared" si="1"/>
        <v>67860.04426913755</v>
      </c>
      <c r="K14" s="238"/>
      <c r="L14" s="238">
        <f t="shared" si="2"/>
        <v>2087932.4227663453</v>
      </c>
      <c r="N14" s="238"/>
      <c r="O14" s="238">
        <f t="shared" si="3"/>
        <v>0</v>
      </c>
      <c r="Q14" s="461">
        <f t="shared" si="7"/>
        <v>980000</v>
      </c>
      <c r="R14" s="461">
        <f t="shared" si="4"/>
        <v>1107932.4227663453</v>
      </c>
      <c r="S14" s="244">
        <f t="shared" si="5"/>
        <v>0</v>
      </c>
    </row>
    <row r="15" spans="1:19" ht="16" thickBot="1" x14ac:dyDescent="0.4">
      <c r="A15" s="457">
        <v>7026</v>
      </c>
      <c r="B15" s="458" t="s">
        <v>258</v>
      </c>
      <c r="C15" s="459">
        <v>103</v>
      </c>
      <c r="D15" s="748">
        <v>103</v>
      </c>
      <c r="E15" s="748">
        <f>(C15*5/12)+(D15*7/12)</f>
        <v>103</v>
      </c>
      <c r="F15" s="460">
        <f>VLOOKUP(A15,'[15]23 24 rates'!$A$3:$E$13,5,FALSE)</f>
        <v>21233.335483760151</v>
      </c>
      <c r="G15" s="238">
        <f t="shared" si="6"/>
        <v>2187033.5548272957</v>
      </c>
      <c r="H15" s="238">
        <f>E15*'[15]23 24 rates'!$L$1</f>
        <v>67980</v>
      </c>
      <c r="I15" s="749">
        <f>VLOOKUP(A15,'[15]23 24 rates'!$A$3:$I$13,9,FALSE)</f>
        <v>734.71347890029165</v>
      </c>
      <c r="J15" s="238">
        <f t="shared" si="1"/>
        <v>75675.488326730047</v>
      </c>
      <c r="K15" s="238"/>
      <c r="L15" s="238">
        <f t="shared" si="2"/>
        <v>2330689.0431540259</v>
      </c>
      <c r="N15" s="238"/>
      <c r="O15" s="238">
        <f t="shared" si="3"/>
        <v>0</v>
      </c>
      <c r="Q15" s="461">
        <f t="shared" si="7"/>
        <v>1030000</v>
      </c>
      <c r="R15" s="461">
        <f t="shared" si="4"/>
        <v>1300689.0431540259</v>
      </c>
      <c r="S15" s="244">
        <f t="shared" si="5"/>
        <v>0</v>
      </c>
    </row>
    <row r="16" spans="1:19" ht="16" thickBot="1" x14ac:dyDescent="0.4">
      <c r="A16" s="462"/>
      <c r="B16" s="463" t="s">
        <v>144</v>
      </c>
      <c r="C16" s="464">
        <f>SUM(C4:C15)</f>
        <v>1621</v>
      </c>
      <c r="D16" s="464">
        <f>SUM(D4:D15)</f>
        <v>1662</v>
      </c>
      <c r="E16" s="464">
        <f>SUM(E4:E15)</f>
        <v>1644.9166666666665</v>
      </c>
      <c r="F16" s="240"/>
      <c r="G16" s="241">
        <f>SUM(G4:G15)</f>
        <v>33747739.696927309</v>
      </c>
      <c r="H16" s="241">
        <f>SUM(H4:H15)</f>
        <v>1085645</v>
      </c>
      <c r="I16" s="750"/>
      <c r="J16" s="241">
        <f>SUM(J4:J15)</f>
        <v>1154341.11396319</v>
      </c>
      <c r="K16" s="241">
        <f>SUM(K4:K15)</f>
        <v>398034</v>
      </c>
      <c r="L16" s="241">
        <f>SUM(L4:L15)</f>
        <v>36385759.810890496</v>
      </c>
      <c r="N16" s="241"/>
      <c r="O16" s="241">
        <f>SUM(O4:O15)</f>
        <v>-260253.25428430873</v>
      </c>
      <c r="Q16" s="241">
        <f>SUM(Q4:Q15)</f>
        <v>16210000</v>
      </c>
      <c r="R16" s="241">
        <f>SUM(R4:R15)</f>
        <v>19915506.556606192</v>
      </c>
    </row>
    <row r="17" spans="1:15" ht="16" thickBot="1" x14ac:dyDescent="0.4">
      <c r="A17" s="465"/>
      <c r="C17" s="466"/>
      <c r="D17" s="466"/>
      <c r="E17" s="466"/>
    </row>
    <row r="18" spans="1:15" x14ac:dyDescent="0.35">
      <c r="D18" s="603">
        <f>'[16]School Forum 22 23'!$C$14</f>
        <v>1527</v>
      </c>
      <c r="G18" s="455" t="s">
        <v>395</v>
      </c>
      <c r="L18" s="241">
        <f>L16+O16</f>
        <v>36125506.556606188</v>
      </c>
      <c r="O18" s="244"/>
    </row>
    <row r="20" spans="1:15" x14ac:dyDescent="0.35">
      <c r="B20" s="488" t="s">
        <v>259</v>
      </c>
      <c r="C20" s="234"/>
      <c r="D20" s="234"/>
      <c r="E20" s="234"/>
      <c r="L20" s="244">
        <f>'[16]School Forum 22 23'!$G$14</f>
        <v>32283250.938020229</v>
      </c>
    </row>
    <row r="21" spans="1:15" x14ac:dyDescent="0.35">
      <c r="B21" s="455" t="s">
        <v>396</v>
      </c>
      <c r="C21" s="489">
        <f>[17]Sheet1!$D$7</f>
        <v>3657500</v>
      </c>
      <c r="D21" s="603"/>
      <c r="E21" s="603"/>
    </row>
    <row r="22" spans="1:15" x14ac:dyDescent="0.35">
      <c r="B22" s="455" t="s">
        <v>481</v>
      </c>
      <c r="C22" s="489">
        <f>[17]Sheet1!$D$9</f>
        <v>3791476</v>
      </c>
      <c r="D22" s="603"/>
      <c r="E22" s="603"/>
      <c r="L22" s="244">
        <f>L16-L20</f>
        <v>4102508.8728702664</v>
      </c>
    </row>
    <row r="23" spans="1:15" x14ac:dyDescent="0.35">
      <c r="B23" s="455" t="s">
        <v>482</v>
      </c>
      <c r="C23" s="490">
        <f>SUM(C21:C22)</f>
        <v>7448976</v>
      </c>
      <c r="D23" s="751"/>
      <c r="E23" s="751"/>
    </row>
  </sheetData>
  <mergeCells count="2">
    <mergeCell ref="I1:J2"/>
    <mergeCell ref="Q1:R1"/>
  </mergeCells>
  <hyperlinks>
    <hyperlink ref="I1:J2" location="Instructions!C17" tooltip="Link to Instructions" display="Back to Main Menu" xr:uid="{DF8B8A05-1383-41ED-AC2A-4CFF9AD532F4}"/>
  </hyperlinks>
  <pageMargins left="0.23622047244094491" right="0.23622047244094491" top="0.74803149606299213" bottom="0.74803149606299213" header="0.31496062992125984" footer="0.31496062992125984"/>
  <pageSetup paperSize="9" scale="56" orientation="landscape" r:id="rId1"/>
  <headerFooter>
    <oddHeader>&amp;RPaper 6, Appendix 1</oddHeader>
    <oddFooter>&amp;L&amp;Z&amp;F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79161-92C1-47C9-A4D9-9B58B9C5EF14}">
  <sheetPr>
    <pageSetUpPr fitToPage="1"/>
  </sheetPr>
  <dimension ref="A1:AT28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D9" sqref="D9"/>
    </sheetView>
  </sheetViews>
  <sheetFormatPr defaultRowHeight="14.5" x14ac:dyDescent="0.35"/>
  <cols>
    <col min="1" max="2" width="8.7265625" style="650"/>
    <col min="3" max="3" width="39.08984375" style="650" bestFit="1" customWidth="1"/>
    <col min="4" max="4" width="13.36328125" style="650" customWidth="1"/>
    <col min="5" max="6" width="11.36328125" style="650" customWidth="1"/>
    <col min="7" max="8" width="10.90625" style="650" customWidth="1"/>
    <col min="9" max="9" width="12.26953125" style="650" customWidth="1"/>
    <col min="10" max="10" width="8.7265625" style="650" customWidth="1"/>
    <col min="11" max="13" width="11.90625" style="650" customWidth="1"/>
    <col min="14" max="16" width="8.7265625" style="650" customWidth="1"/>
    <col min="17" max="17" width="11.6328125" style="650" customWidth="1"/>
    <col min="18" max="18" width="10.81640625" style="650" customWidth="1"/>
    <col min="19" max="19" width="10.1796875" style="650" customWidth="1"/>
    <col min="20" max="20" width="9.54296875" style="650" customWidth="1"/>
    <col min="21" max="21" width="8.7265625" style="650" customWidth="1"/>
    <col min="22" max="25" width="9.90625" style="650" customWidth="1"/>
    <col min="26" max="29" width="10.08984375" style="650" customWidth="1"/>
    <col min="30" max="30" width="10.1796875" style="650" customWidth="1"/>
    <col min="31" max="31" width="2" style="650" customWidth="1"/>
    <col min="32" max="32" width="10.08984375" style="650" customWidth="1"/>
    <col min="33" max="36" width="10.1796875" style="650" customWidth="1"/>
    <col min="37" max="37" width="12.1796875" style="657" customWidth="1"/>
    <col min="38" max="38" width="10.81640625" style="650" bestFit="1" customWidth="1"/>
    <col min="39" max="39" width="10.81640625" style="650" customWidth="1"/>
    <col min="40" max="40" width="12.1796875" style="657" customWidth="1"/>
    <col min="41" max="41" width="9.54296875" style="657" customWidth="1"/>
    <col min="42" max="42" width="2.54296875" style="650" customWidth="1"/>
    <col min="43" max="43" width="18.54296875" style="650" bestFit="1" customWidth="1"/>
    <col min="44" max="16384" width="8.7265625" style="650"/>
  </cols>
  <sheetData>
    <row r="1" spans="1:46" x14ac:dyDescent="0.35">
      <c r="V1" s="762" t="s">
        <v>432</v>
      </c>
      <c r="W1" s="762"/>
      <c r="X1" s="762"/>
      <c r="Y1" s="762"/>
      <c r="Z1" s="763" t="s">
        <v>433</v>
      </c>
      <c r="AA1" s="763"/>
      <c r="AB1" s="763"/>
      <c r="AC1" s="763"/>
    </row>
    <row r="2" spans="1:46" ht="70.5" x14ac:dyDescent="0.35">
      <c r="A2" s="658" t="s">
        <v>192</v>
      </c>
      <c r="B2" s="659" t="s">
        <v>114</v>
      </c>
      <c r="C2" s="660"/>
      <c r="D2" s="661" t="s">
        <v>193</v>
      </c>
      <c r="E2" s="661" t="s">
        <v>194</v>
      </c>
      <c r="F2" s="661" t="s">
        <v>149</v>
      </c>
      <c r="G2" s="661" t="s">
        <v>384</v>
      </c>
      <c r="H2" s="661" t="s">
        <v>385</v>
      </c>
      <c r="I2" s="661" t="s">
        <v>386</v>
      </c>
      <c r="K2" s="661" t="s">
        <v>387</v>
      </c>
      <c r="L2" s="661" t="s">
        <v>388</v>
      </c>
      <c r="M2" s="661" t="s">
        <v>389</v>
      </c>
      <c r="O2" s="662">
        <v>10000</v>
      </c>
      <c r="P2" s="661"/>
      <c r="Q2" s="661" t="s">
        <v>434</v>
      </c>
      <c r="R2" s="661" t="s">
        <v>435</v>
      </c>
      <c r="S2" s="661" t="s">
        <v>436</v>
      </c>
      <c r="T2" s="661" t="s">
        <v>437</v>
      </c>
      <c r="V2" s="663" t="s">
        <v>438</v>
      </c>
      <c r="W2" s="663" t="s">
        <v>439</v>
      </c>
      <c r="X2" s="663" t="s">
        <v>440</v>
      </c>
      <c r="Y2" s="663" t="s">
        <v>441</v>
      </c>
      <c r="Z2" s="664" t="s">
        <v>442</v>
      </c>
      <c r="AA2" s="664" t="s">
        <v>443</v>
      </c>
      <c r="AB2" s="664" t="s">
        <v>444</v>
      </c>
      <c r="AC2" s="664" t="s">
        <v>445</v>
      </c>
      <c r="AD2" s="665" t="s">
        <v>441</v>
      </c>
      <c r="AF2" s="666" t="s">
        <v>446</v>
      </c>
      <c r="AG2" s="666" t="s">
        <v>447</v>
      </c>
      <c r="AH2" s="667" t="s">
        <v>448</v>
      </c>
      <c r="AI2" s="667" t="s">
        <v>241</v>
      </c>
      <c r="AJ2" s="668" t="s">
        <v>449</v>
      </c>
      <c r="AK2" s="667" t="s">
        <v>450</v>
      </c>
      <c r="AL2" s="667" t="s">
        <v>451</v>
      </c>
      <c r="AM2" s="667" t="s">
        <v>452</v>
      </c>
      <c r="AN2" s="667" t="s">
        <v>453</v>
      </c>
      <c r="AO2" s="667" t="s">
        <v>454</v>
      </c>
      <c r="AQ2" s="667" t="s">
        <v>455</v>
      </c>
      <c r="AS2" s="650" t="s">
        <v>456</v>
      </c>
    </row>
    <row r="3" spans="1:46" x14ac:dyDescent="0.35">
      <c r="A3" s="658"/>
      <c r="B3" s="659"/>
      <c r="C3" s="660"/>
      <c r="D3" s="661"/>
      <c r="E3" s="661"/>
      <c r="F3" s="661"/>
      <c r="G3" s="661"/>
      <c r="H3" s="661"/>
      <c r="I3" s="661"/>
      <c r="K3" s="661"/>
      <c r="L3" s="661"/>
      <c r="M3" s="661"/>
      <c r="O3" s="662"/>
      <c r="P3" s="669"/>
      <c r="Q3" s="669"/>
      <c r="R3" s="669"/>
      <c r="S3" s="669"/>
      <c r="T3" s="669"/>
      <c r="V3" s="670">
        <v>6000</v>
      </c>
      <c r="W3" s="670">
        <v>10000</v>
      </c>
      <c r="X3" s="670">
        <v>6000</v>
      </c>
      <c r="Y3" s="670">
        <v>10000</v>
      </c>
      <c r="Z3" s="671">
        <v>6000</v>
      </c>
      <c r="AA3" s="671">
        <v>10000</v>
      </c>
      <c r="AB3" s="671">
        <v>6000</v>
      </c>
      <c r="AC3" s="671">
        <v>10000</v>
      </c>
      <c r="AG3" s="672"/>
      <c r="AH3" s="673"/>
      <c r="AI3" s="673"/>
    </row>
    <row r="4" spans="1:46" x14ac:dyDescent="0.35">
      <c r="A4" s="649">
        <v>3735401</v>
      </c>
      <c r="B4" s="649">
        <v>5401</v>
      </c>
      <c r="C4" s="651" t="s">
        <v>207</v>
      </c>
      <c r="D4" s="654">
        <f>VLOOKUP(A4,'[18]2021 to 2022 HN Data'!$C$8:$J$21,8,FALSE)</f>
        <v>4</v>
      </c>
      <c r="E4" s="649">
        <v>3</v>
      </c>
      <c r="F4" s="649">
        <v>4</v>
      </c>
      <c r="G4" s="674">
        <f>VLOOKUP(A4,'[12]Budget Share'!$A$9:$AL$181,38,FALSE)</f>
        <v>5885.323602675795</v>
      </c>
      <c r="H4" s="674">
        <f>(G4+10000)</f>
        <v>15885.323602675795</v>
      </c>
      <c r="I4" s="675">
        <f>F4*H4</f>
        <v>63541.29441070318</v>
      </c>
      <c r="K4" s="652">
        <f>F4*10000</f>
        <v>40000</v>
      </c>
      <c r="L4" s="652">
        <f>E4*G4</f>
        <v>17655.970808027385</v>
      </c>
      <c r="M4" s="652">
        <f t="shared" ref="M4:M19" si="0">(F4-E4)*G4</f>
        <v>5885.323602675795</v>
      </c>
      <c r="N4" s="676">
        <f>SUM(K4:M4)-I4</f>
        <v>0</v>
      </c>
      <c r="P4" s="677"/>
      <c r="Q4" s="678">
        <f>(VLOOKUP(A4,[19]Sheet1!$A$7:$AF$22,7,FALSE)+VLOOKUP(A4,[19]Sheet1!$A$7:$AF$22,8,FALSE))*5/12</f>
        <v>10000</v>
      </c>
      <c r="R4" s="678">
        <f>(VLOOKUP(A4,[19]Sheet1!$A$7:$AF$22,23,FALSE)+VLOOKUP(A4,[19]Sheet1!$A$7:$AF$22,24,FALSE))*7/12</f>
        <v>16333.333333333334</v>
      </c>
      <c r="S4" s="678">
        <f>Q4+R4</f>
        <v>26333.333333333336</v>
      </c>
      <c r="T4" s="678">
        <f>K4+M4-S4</f>
        <v>19551.990269342459</v>
      </c>
      <c r="V4" s="650">
        <f>VLOOKUP($B4,'[20]Places deducted'!$B:$L,4,FALSE)</f>
        <v>4</v>
      </c>
      <c r="W4" s="650">
        <f>VLOOKUP($B4,'[20]Places deducted'!$B:$L,5,FALSE)</f>
        <v>0</v>
      </c>
      <c r="X4" s="650">
        <f>VLOOKUP($B4,'[20]Places deducted'!$B:$L,9,FALSE)</f>
        <v>3</v>
      </c>
      <c r="Y4" s="650">
        <f>VLOOKUP($B4,'[20]Places deducted'!$B:$L,10,FALSE)</f>
        <v>1</v>
      </c>
      <c r="Z4" s="679">
        <f>V4*V$3*5/12</f>
        <v>10000</v>
      </c>
      <c r="AA4" s="679">
        <f>W4*W$3*5/12</f>
        <v>0</v>
      </c>
      <c r="AB4" s="679">
        <f>X4*X$3*7/12</f>
        <v>10500</v>
      </c>
      <c r="AC4" s="679">
        <f>Y4*Y$3*7/12</f>
        <v>5833.333333333333</v>
      </c>
      <c r="AD4" s="680">
        <f>SUM(Z4:AC4)</f>
        <v>26333.333333333332</v>
      </c>
      <c r="AF4" s="679">
        <f>E4*G4</f>
        <v>17655.970808027385</v>
      </c>
      <c r="AG4" s="681">
        <f>I4-AD4-AF4</f>
        <v>19551.990269342466</v>
      </c>
      <c r="AH4" s="682"/>
      <c r="AI4" s="682">
        <f>AG4</f>
        <v>19551.990269342466</v>
      </c>
      <c r="AJ4" s="676">
        <f t="shared" ref="AJ4:AJ19" si="1">AG4-T4</f>
        <v>0</v>
      </c>
      <c r="AK4" s="683">
        <f>'[21]A4 Sheet'!$E$22</f>
        <v>16000</v>
      </c>
      <c r="AL4" s="684">
        <f>'[21]A4 Sheet'!$F$26</f>
        <v>6666.666666666667</v>
      </c>
      <c r="AM4" s="685">
        <f>AK4*5/12-AL4</f>
        <v>0</v>
      </c>
      <c r="AN4" s="683"/>
      <c r="AO4" s="683">
        <f>AI4-AL4-AN4</f>
        <v>12885.323602675799</v>
      </c>
      <c r="AP4" s="676"/>
      <c r="AQ4" s="650" t="s">
        <v>457</v>
      </c>
    </row>
    <row r="5" spans="1:46" s="710" customFormat="1" x14ac:dyDescent="0.35">
      <c r="A5" s="705">
        <v>3733429</v>
      </c>
      <c r="B5" s="705">
        <v>3429</v>
      </c>
      <c r="C5" s="706" t="s">
        <v>208</v>
      </c>
      <c r="D5" s="707"/>
      <c r="E5" s="705">
        <v>15</v>
      </c>
      <c r="F5" s="705">
        <v>15</v>
      </c>
      <c r="G5" s="708">
        <f>VLOOKUP(A5,'[12]Budget Share'!$A$9:$AL$181,38,FALSE)</f>
        <v>5404.9345386012064</v>
      </c>
      <c r="H5" s="708">
        <f t="shared" ref="H5:H19" si="2">(G5+10000)</f>
        <v>15404.934538601206</v>
      </c>
      <c r="I5" s="709">
        <f t="shared" ref="I5:I19" si="3">F5*H5</f>
        <v>231074.0180790181</v>
      </c>
      <c r="K5" s="711">
        <f t="shared" ref="K5:K19" si="4">F5*10000</f>
        <v>150000</v>
      </c>
      <c r="L5" s="711">
        <f t="shared" ref="L5:L19" si="5">E5*G5</f>
        <v>81074.018079018104</v>
      </c>
      <c r="M5" s="711">
        <f t="shared" si="0"/>
        <v>0</v>
      </c>
      <c r="N5" s="712">
        <f t="shared" ref="N5:N19" si="6">SUM(K5:M5)-I5</f>
        <v>0</v>
      </c>
      <c r="P5" s="713"/>
      <c r="Q5" s="714">
        <f>(VLOOKUP(A5,[19]Sheet1!$A$7:$AF$22,7,FALSE)+VLOOKUP(A5,[19]Sheet1!$A$7:$AF$22,8,FALSE))*5/12</f>
        <v>0</v>
      </c>
      <c r="R5" s="714">
        <f>(VLOOKUP(A5,[19]Sheet1!$A$7:$AF$22,23,FALSE)+VLOOKUP(A5,[19]Sheet1!$A$7:$AF$22,24,FALSE))*7/12</f>
        <v>0</v>
      </c>
      <c r="S5" s="714">
        <f t="shared" ref="S5:S19" si="7">Q5+R5</f>
        <v>0</v>
      </c>
      <c r="T5" s="714">
        <f t="shared" ref="T5:T19" si="8">K5+M5-S5</f>
        <v>150000</v>
      </c>
      <c r="V5" s="710">
        <f>VLOOKUP($B5,'[20]Places deducted'!$B:$L,4,FALSE)</f>
        <v>0</v>
      </c>
      <c r="W5" s="710">
        <f>VLOOKUP($B5,'[20]Places deducted'!$B:$L,5,FALSE)</f>
        <v>0</v>
      </c>
      <c r="X5" s="710">
        <f>VLOOKUP($B5,'[20]Places deducted'!$B:$L,9,FALSE)</f>
        <v>0</v>
      </c>
      <c r="Y5" s="710">
        <f>VLOOKUP($B5,'[20]Places deducted'!$B:$L,10,FALSE)</f>
        <v>0</v>
      </c>
      <c r="Z5" s="715">
        <f t="shared" ref="Z5:AA19" si="9">V5*V$3*5/12</f>
        <v>0</v>
      </c>
      <c r="AA5" s="715">
        <f t="shared" si="9"/>
        <v>0</v>
      </c>
      <c r="AB5" s="715">
        <f t="shared" ref="AB5:AC19" si="10">X5*X$3*7/12</f>
        <v>0</v>
      </c>
      <c r="AC5" s="715">
        <f t="shared" si="10"/>
        <v>0</v>
      </c>
      <c r="AD5" s="716">
        <f t="shared" ref="AD5:AD20" si="11">SUM(Z5:AC5)</f>
        <v>0</v>
      </c>
      <c r="AF5" s="715">
        <f t="shared" ref="AF5:AF19" si="12">E5*G5</f>
        <v>81074.018079018104</v>
      </c>
      <c r="AG5" s="717">
        <f t="shared" ref="AG5:AG19" si="13">I5-AD5-AF5</f>
        <v>150000</v>
      </c>
      <c r="AH5" s="717">
        <f>AG5</f>
        <v>150000</v>
      </c>
      <c r="AJ5" s="712">
        <f t="shared" si="1"/>
        <v>0</v>
      </c>
      <c r="AK5" s="718"/>
      <c r="AL5" s="719"/>
      <c r="AM5" s="719"/>
      <c r="AN5" s="718"/>
      <c r="AO5" s="720">
        <f t="shared" ref="AO5:AO19" si="14">AI5-AL5-AN5</f>
        <v>0</v>
      </c>
      <c r="AQ5" s="712"/>
    </row>
    <row r="6" spans="1:46" x14ac:dyDescent="0.35">
      <c r="A6" s="654">
        <f>'[22]Place Change Notification (PCN)'!$G$14</f>
        <v>3732274</v>
      </c>
      <c r="B6" s="649">
        <v>2274</v>
      </c>
      <c r="C6" s="653" t="s">
        <v>390</v>
      </c>
      <c r="D6" s="654"/>
      <c r="E6" s="649">
        <v>8</v>
      </c>
      <c r="F6" s="649">
        <v>8</v>
      </c>
      <c r="G6" s="674">
        <f>VLOOKUP(A6,'[12]Budget Share'!$A$9:$AL$181,38,FALSE)</f>
        <v>4934.9536725581283</v>
      </c>
      <c r="H6" s="674">
        <f t="shared" si="2"/>
        <v>14934.953672558127</v>
      </c>
      <c r="I6" s="675">
        <f t="shared" si="3"/>
        <v>119479.62938046502</v>
      </c>
      <c r="K6" s="652">
        <f t="shared" si="4"/>
        <v>80000</v>
      </c>
      <c r="L6" s="652">
        <f t="shared" si="5"/>
        <v>39479.629380465027</v>
      </c>
      <c r="M6" s="652">
        <f t="shared" si="0"/>
        <v>0</v>
      </c>
      <c r="N6" s="676">
        <f t="shared" si="6"/>
        <v>0</v>
      </c>
      <c r="P6" s="677"/>
      <c r="Q6" s="678">
        <f>(VLOOKUP(A6,[19]Sheet1!$A$7:$AF$22,7,FALSE)+VLOOKUP(A6,[19]Sheet1!$A$7:$AF$22,8,FALSE))*5/12</f>
        <v>0</v>
      </c>
      <c r="R6" s="678">
        <f>(VLOOKUP(A6,[19]Sheet1!$A$7:$AF$22,23,FALSE)+VLOOKUP(A6,[19]Sheet1!$A$7:$AF$22,24,FALSE))*7/12</f>
        <v>0</v>
      </c>
      <c r="S6" s="678">
        <f t="shared" si="7"/>
        <v>0</v>
      </c>
      <c r="T6" s="678">
        <f t="shared" si="8"/>
        <v>80000</v>
      </c>
      <c r="V6" s="650">
        <f>VLOOKUP($B6,'[20]Places deducted'!$B:$L,4,FALSE)</f>
        <v>0</v>
      </c>
      <c r="W6" s="650">
        <f>VLOOKUP($B6,'[20]Places deducted'!$B:$L,5,FALSE)</f>
        <v>0</v>
      </c>
      <c r="X6" s="650">
        <f>VLOOKUP($B6,'[20]Places deducted'!$B:$L,9,FALSE)</f>
        <v>0</v>
      </c>
      <c r="Y6" s="650">
        <f>VLOOKUP($B6,'[20]Places deducted'!$B:$L,10,FALSE)</f>
        <v>0</v>
      </c>
      <c r="Z6" s="679">
        <f t="shared" si="9"/>
        <v>0</v>
      </c>
      <c r="AA6" s="679">
        <f t="shared" si="9"/>
        <v>0</v>
      </c>
      <c r="AB6" s="679">
        <f t="shared" si="10"/>
        <v>0</v>
      </c>
      <c r="AC6" s="679">
        <f t="shared" si="10"/>
        <v>0</v>
      </c>
      <c r="AD6" s="680">
        <f t="shared" si="11"/>
        <v>0</v>
      </c>
      <c r="AF6" s="679">
        <f t="shared" si="12"/>
        <v>39479.629380465027</v>
      </c>
      <c r="AG6" s="681">
        <f t="shared" si="13"/>
        <v>80000</v>
      </c>
      <c r="AH6" s="682"/>
      <c r="AI6" s="682">
        <f t="shared" ref="AI6:AI19" si="15">AG6</f>
        <v>80000</v>
      </c>
      <c r="AJ6" s="676">
        <f t="shared" si="1"/>
        <v>0</v>
      </c>
      <c r="AL6" s="684">
        <f>'[23]A4 Sheet'!$F$26</f>
        <v>33333.333333333336</v>
      </c>
      <c r="AM6" s="685"/>
      <c r="AO6" s="683">
        <f t="shared" si="14"/>
        <v>46666.666666666664</v>
      </c>
      <c r="AQ6" s="650" t="s">
        <v>457</v>
      </c>
    </row>
    <row r="7" spans="1:46" x14ac:dyDescent="0.35">
      <c r="A7" s="649">
        <v>3734276</v>
      </c>
      <c r="B7" s="649">
        <v>4276</v>
      </c>
      <c r="C7" s="653" t="s">
        <v>182</v>
      </c>
      <c r="D7" s="654">
        <f>VLOOKUP(A7,'[18]2021 to 2022 HN Data'!$C$8:$J$21,8,FALSE)</f>
        <v>23</v>
      </c>
      <c r="E7" s="649">
        <v>17</v>
      </c>
      <c r="F7" s="649">
        <v>23</v>
      </c>
      <c r="G7" s="674">
        <f>VLOOKUP(A7,'[12]Budget Share'!$A$9:$AL$181,38,FALSE)</f>
        <v>5941.9206016300832</v>
      </c>
      <c r="H7" s="674">
        <f t="shared" si="2"/>
        <v>15941.920601630083</v>
      </c>
      <c r="I7" s="675">
        <f t="shared" si="3"/>
        <v>366664.17383749189</v>
      </c>
      <c r="K7" s="652">
        <f t="shared" si="4"/>
        <v>230000</v>
      </c>
      <c r="L7" s="652">
        <f t="shared" si="5"/>
        <v>101012.65022771142</v>
      </c>
      <c r="M7" s="652">
        <f>(F7-E7)*G7</f>
        <v>35651.523609780503</v>
      </c>
      <c r="N7" s="676">
        <f t="shared" si="6"/>
        <v>0</v>
      </c>
      <c r="P7" s="677"/>
      <c r="Q7" s="678">
        <f>(VLOOKUP(A7,[19]Sheet1!$A$7:$AF$22,7,FALSE)+VLOOKUP(A7,[19]Sheet1!$A$7:$AF$22,8,FALSE))*5/12</f>
        <v>64166.666666666664</v>
      </c>
      <c r="R7" s="678">
        <f>(VLOOKUP(A7,[19]Sheet1!$A$7:$AF$22,23,FALSE)+VLOOKUP(A7,[19]Sheet1!$A$7:$AF$22,24,FALSE))*7/12</f>
        <v>94500</v>
      </c>
      <c r="S7" s="678">
        <f t="shared" si="7"/>
        <v>158666.66666666666</v>
      </c>
      <c r="T7" s="678">
        <f t="shared" si="8"/>
        <v>106984.85694311382</v>
      </c>
      <c r="V7" s="650">
        <f>VLOOKUP($B7,'[20]Places deducted'!$B:$L,4,FALSE)</f>
        <v>19</v>
      </c>
      <c r="W7" s="650">
        <f>VLOOKUP($B7,'[20]Places deducted'!$B:$L,5,FALSE)</f>
        <v>4</v>
      </c>
      <c r="X7" s="650">
        <f>VLOOKUP($B7,'[20]Places deducted'!$B:$L,9,FALSE)</f>
        <v>17</v>
      </c>
      <c r="Y7" s="650">
        <f>VLOOKUP($B7,'[20]Places deducted'!$B:$L,10,FALSE)</f>
        <v>6</v>
      </c>
      <c r="Z7" s="679">
        <f t="shared" si="9"/>
        <v>47500</v>
      </c>
      <c r="AA7" s="679">
        <f t="shared" si="9"/>
        <v>16666.666666666668</v>
      </c>
      <c r="AB7" s="679">
        <f t="shared" si="10"/>
        <v>59500</v>
      </c>
      <c r="AC7" s="679">
        <f t="shared" si="10"/>
        <v>35000</v>
      </c>
      <c r="AD7" s="680">
        <f t="shared" si="11"/>
        <v>158666.66666666669</v>
      </c>
      <c r="AF7" s="679">
        <f t="shared" si="12"/>
        <v>101012.65022771142</v>
      </c>
      <c r="AG7" s="681">
        <f t="shared" si="13"/>
        <v>106984.85694311379</v>
      </c>
      <c r="AH7" s="682"/>
      <c r="AI7" s="682">
        <f t="shared" si="15"/>
        <v>106984.85694311379</v>
      </c>
      <c r="AJ7" s="676">
        <f t="shared" si="1"/>
        <v>0</v>
      </c>
      <c r="AL7" s="684">
        <f>'[24]A4 Sheet'!$F$26</f>
        <v>31666.666666666668</v>
      </c>
      <c r="AM7" s="685"/>
      <c r="AO7" s="683">
        <f t="shared" si="14"/>
        <v>75318.190276447116</v>
      </c>
      <c r="AQ7" s="650" t="s">
        <v>457</v>
      </c>
    </row>
    <row r="8" spans="1:46" x14ac:dyDescent="0.35">
      <c r="A8" s="649">
        <v>3732323</v>
      </c>
      <c r="B8" s="649">
        <v>2323</v>
      </c>
      <c r="C8" s="653" t="s">
        <v>87</v>
      </c>
      <c r="D8" s="654">
        <v>10</v>
      </c>
      <c r="E8" s="649">
        <v>11</v>
      </c>
      <c r="F8" s="649">
        <v>11</v>
      </c>
      <c r="G8" s="674">
        <f>VLOOKUP(A8,'[12]Budget Share'!$A$9:$AL$181,38,FALSE)</f>
        <v>4696.4794408083008</v>
      </c>
      <c r="H8" s="674">
        <f t="shared" si="2"/>
        <v>14696.4794408083</v>
      </c>
      <c r="I8" s="675">
        <f t="shared" si="3"/>
        <v>161661.27384889129</v>
      </c>
      <c r="K8" s="652">
        <f t="shared" si="4"/>
        <v>110000</v>
      </c>
      <c r="L8" s="652">
        <f t="shared" si="5"/>
        <v>51661.273848891309</v>
      </c>
      <c r="M8" s="652">
        <f t="shared" si="0"/>
        <v>0</v>
      </c>
      <c r="N8" s="676">
        <f t="shared" si="6"/>
        <v>0</v>
      </c>
      <c r="P8" s="677"/>
      <c r="Q8" s="678">
        <f>(VLOOKUP(A8,[19]Sheet1!$A$7:$AF$22,7,FALSE)+VLOOKUP(A8,[19]Sheet1!$A$7:$AF$22,8,FALSE))*5/12</f>
        <v>35000</v>
      </c>
      <c r="R8" s="678">
        <f>(VLOOKUP(A8,[19]Sheet1!$A$7:$AF$22,23,FALSE)+VLOOKUP(A8,[19]Sheet1!$A$7:$AF$22,24,FALSE))*7/12</f>
        <v>35000</v>
      </c>
      <c r="S8" s="678">
        <f t="shared" si="7"/>
        <v>70000</v>
      </c>
      <c r="T8" s="678">
        <f t="shared" si="8"/>
        <v>40000</v>
      </c>
      <c r="V8" s="650">
        <f>VLOOKUP($B8,'[20]Places deducted'!$B:$L,4,FALSE)</f>
        <v>9</v>
      </c>
      <c r="W8" s="650">
        <f>VLOOKUP($B8,'[20]Places deducted'!$B:$L,5,FALSE)</f>
        <v>3</v>
      </c>
      <c r="X8" s="650">
        <f>VLOOKUP($B8,'[20]Places deducted'!$B:$L,9,FALSE)</f>
        <v>10</v>
      </c>
      <c r="Y8" s="650">
        <f>VLOOKUP($B8,'[20]Places deducted'!$B:$L,10,FALSE)</f>
        <v>0</v>
      </c>
      <c r="Z8" s="679">
        <f t="shared" si="9"/>
        <v>22500</v>
      </c>
      <c r="AA8" s="679">
        <f t="shared" si="9"/>
        <v>12500</v>
      </c>
      <c r="AB8" s="679">
        <f t="shared" si="10"/>
        <v>35000</v>
      </c>
      <c r="AC8" s="679">
        <f t="shared" si="10"/>
        <v>0</v>
      </c>
      <c r="AD8" s="680">
        <f t="shared" si="11"/>
        <v>70000</v>
      </c>
      <c r="AF8" s="679">
        <f t="shared" si="12"/>
        <v>51661.273848891309</v>
      </c>
      <c r="AG8" s="681">
        <f t="shared" si="13"/>
        <v>39999.999999999978</v>
      </c>
      <c r="AH8" s="682"/>
      <c r="AI8" s="682">
        <f t="shared" si="15"/>
        <v>39999.999999999978</v>
      </c>
      <c r="AJ8" s="676">
        <f t="shared" si="1"/>
        <v>0</v>
      </c>
      <c r="AL8" s="684">
        <f>'[25]A4 Sheet'!$F$26</f>
        <v>18784.010609214576</v>
      </c>
      <c r="AM8" s="685"/>
      <c r="AO8" s="683">
        <f t="shared" si="14"/>
        <v>21215.989390785402</v>
      </c>
      <c r="AQ8" s="650" t="s">
        <v>457</v>
      </c>
    </row>
    <row r="9" spans="1:46" x14ac:dyDescent="0.35">
      <c r="A9" s="649">
        <v>3734007</v>
      </c>
      <c r="B9" s="649">
        <v>4007</v>
      </c>
      <c r="C9" s="653" t="s">
        <v>209</v>
      </c>
      <c r="D9" s="654">
        <v>15</v>
      </c>
      <c r="E9" s="686">
        <v>20</v>
      </c>
      <c r="F9" s="649">
        <v>20</v>
      </c>
      <c r="G9" s="674">
        <f>VLOOKUP(A9,'[12]Budget Share'!$A$9:$AL$181,38,FALSE)</f>
        <v>5616.2506790774905</v>
      </c>
      <c r="H9" s="674">
        <f t="shared" si="2"/>
        <v>15616.25067907749</v>
      </c>
      <c r="I9" s="675">
        <f t="shared" si="3"/>
        <v>312325.01358154981</v>
      </c>
      <c r="K9" s="652">
        <f t="shared" si="4"/>
        <v>200000</v>
      </c>
      <c r="L9" s="652">
        <f t="shared" si="5"/>
        <v>112325.01358154981</v>
      </c>
      <c r="M9" s="652">
        <f t="shared" si="0"/>
        <v>0</v>
      </c>
      <c r="N9" s="676">
        <f t="shared" si="6"/>
        <v>0</v>
      </c>
      <c r="P9" s="677"/>
      <c r="Q9" s="678">
        <f>(VLOOKUP(A9,[19]Sheet1!$A$7:$AF$22,7,FALSE)+VLOOKUP(A9,[19]Sheet1!$A$7:$AF$22,8,FALSE))*5/12</f>
        <v>35000</v>
      </c>
      <c r="R9" s="678">
        <f>(VLOOKUP(A9,[19]Sheet1!$A$7:$AF$22,23,FALSE)+VLOOKUP(A9,[19]Sheet1!$A$7:$AF$22,24,FALSE))*7/12</f>
        <v>52500</v>
      </c>
      <c r="S9" s="678">
        <f t="shared" si="7"/>
        <v>87500</v>
      </c>
      <c r="T9" s="678">
        <f t="shared" si="8"/>
        <v>112500</v>
      </c>
      <c r="V9" s="650">
        <f>VLOOKUP($B9,'[20]Places deducted'!$B:$L,4,FALSE)</f>
        <v>14</v>
      </c>
      <c r="W9" s="650">
        <f>VLOOKUP($B9,'[20]Places deducted'!$B:$L,5,FALSE)</f>
        <v>0</v>
      </c>
      <c r="X9" s="650">
        <f>VLOOKUP($B9,'[20]Places deducted'!$B:$L,9,FALSE)</f>
        <v>15</v>
      </c>
      <c r="Y9" s="650">
        <f>VLOOKUP($B9,'[20]Places deducted'!$B:$L,10,FALSE)</f>
        <v>0</v>
      </c>
      <c r="Z9" s="679">
        <f t="shared" si="9"/>
        <v>35000</v>
      </c>
      <c r="AA9" s="679">
        <f t="shared" si="9"/>
        <v>0</v>
      </c>
      <c r="AB9" s="679">
        <f t="shared" si="10"/>
        <v>52500</v>
      </c>
      <c r="AC9" s="679">
        <f t="shared" si="10"/>
        <v>0</v>
      </c>
      <c r="AD9" s="680">
        <f t="shared" si="11"/>
        <v>87500</v>
      </c>
      <c r="AF9" s="679">
        <f t="shared" si="12"/>
        <v>112325.01358154981</v>
      </c>
      <c r="AG9" s="681">
        <f t="shared" si="13"/>
        <v>112500</v>
      </c>
      <c r="AH9" s="682"/>
      <c r="AI9" s="682">
        <f t="shared" si="15"/>
        <v>112500</v>
      </c>
      <c r="AJ9" s="676">
        <f t="shared" si="1"/>
        <v>0</v>
      </c>
      <c r="AL9" s="684">
        <f>'[26]A4 Sheet'!$F$26</f>
        <v>36400.373519875837</v>
      </c>
      <c r="AM9" s="685"/>
      <c r="AO9" s="683">
        <f t="shared" si="14"/>
        <v>76099.626480124163</v>
      </c>
      <c r="AQ9" s="650" t="s">
        <v>457</v>
      </c>
    </row>
    <row r="10" spans="1:46" x14ac:dyDescent="0.35">
      <c r="A10" s="649">
        <v>3732010</v>
      </c>
      <c r="B10" s="649">
        <v>2010</v>
      </c>
      <c r="C10" s="653" t="s">
        <v>164</v>
      </c>
      <c r="D10" s="654">
        <f>VLOOKUP(A10,'[18]2021 to 2022 HN Data'!$C$8:$J$21,8,FALSE)</f>
        <v>18</v>
      </c>
      <c r="E10" s="649">
        <v>19</v>
      </c>
      <c r="F10" s="649">
        <v>19</v>
      </c>
      <c r="G10" s="674">
        <f>VLOOKUP(A10,'[12]Budget Share'!$A$9:$AL$181,38,FALSE)</f>
        <v>5472.8231200246801</v>
      </c>
      <c r="H10" s="674">
        <f t="shared" si="2"/>
        <v>15472.823120024681</v>
      </c>
      <c r="I10" s="675">
        <f t="shared" si="3"/>
        <v>293983.63928046892</v>
      </c>
      <c r="K10" s="652">
        <f t="shared" si="4"/>
        <v>190000</v>
      </c>
      <c r="L10" s="652">
        <f t="shared" si="5"/>
        <v>103983.63928046892</v>
      </c>
      <c r="M10" s="652">
        <f t="shared" si="0"/>
        <v>0</v>
      </c>
      <c r="N10" s="676">
        <f t="shared" si="6"/>
        <v>0</v>
      </c>
      <c r="P10" s="677"/>
      <c r="Q10" s="678">
        <f>(VLOOKUP(A10,[19]Sheet1!$A$7:$AF$22,7,FALSE)+VLOOKUP(A10,[19]Sheet1!$A$7:$AF$22,8,FALSE))*5/12</f>
        <v>45000</v>
      </c>
      <c r="R10" s="678">
        <f>(VLOOKUP(A10,[19]Sheet1!$A$7:$AF$22,23,FALSE)+VLOOKUP(A10,[19]Sheet1!$A$7:$AF$22,24,FALSE))*7/12</f>
        <v>63000</v>
      </c>
      <c r="S10" s="678">
        <f t="shared" si="7"/>
        <v>108000</v>
      </c>
      <c r="T10" s="678">
        <f t="shared" si="8"/>
        <v>82000</v>
      </c>
      <c r="V10" s="650">
        <f>VLOOKUP($B10,'[20]Places deducted'!$B:$L,4,FALSE)</f>
        <v>18</v>
      </c>
      <c r="W10" s="650">
        <f>VLOOKUP($B10,'[20]Places deducted'!$B:$L,5,FALSE)</f>
        <v>0</v>
      </c>
      <c r="X10" s="650">
        <f>VLOOKUP($B10,'[20]Places deducted'!$B:$L,9,FALSE)</f>
        <v>18</v>
      </c>
      <c r="Y10" s="650">
        <f>VLOOKUP($B10,'[20]Places deducted'!$B:$L,10,FALSE)</f>
        <v>0</v>
      </c>
      <c r="Z10" s="679">
        <f t="shared" si="9"/>
        <v>45000</v>
      </c>
      <c r="AA10" s="679">
        <f t="shared" si="9"/>
        <v>0</v>
      </c>
      <c r="AB10" s="679">
        <f t="shared" si="10"/>
        <v>63000</v>
      </c>
      <c r="AC10" s="679">
        <f t="shared" si="10"/>
        <v>0</v>
      </c>
      <c r="AD10" s="680">
        <f t="shared" si="11"/>
        <v>108000</v>
      </c>
      <c r="AF10" s="679">
        <f t="shared" si="12"/>
        <v>103983.63928046892</v>
      </c>
      <c r="AG10" s="681">
        <f t="shared" si="13"/>
        <v>82000</v>
      </c>
      <c r="AH10" s="682"/>
      <c r="AI10" s="682">
        <f t="shared" si="15"/>
        <v>82000</v>
      </c>
      <c r="AJ10" s="676">
        <f t="shared" si="1"/>
        <v>0</v>
      </c>
      <c r="AL10" s="684">
        <f>'[26]A4 Sheet'!$F$26</f>
        <v>36400.373519875837</v>
      </c>
      <c r="AM10" s="685"/>
      <c r="AO10" s="683">
        <f t="shared" si="14"/>
        <v>45599.626480124163</v>
      </c>
      <c r="AQ10" s="650" t="s">
        <v>457</v>
      </c>
    </row>
    <row r="11" spans="1:46" x14ac:dyDescent="0.35">
      <c r="A11" s="654">
        <f>'[22]Place Change Notification (PCN)'!$G$15</f>
        <v>3732337</v>
      </c>
      <c r="B11" s="649">
        <v>2337</v>
      </c>
      <c r="C11" s="653" t="str">
        <f>'[22]Place Change Notification (PCN)'!$H$15</f>
        <v>Hucklow</v>
      </c>
      <c r="D11" s="654">
        <v>0</v>
      </c>
      <c r="E11" s="649">
        <v>13</v>
      </c>
      <c r="F11" s="649">
        <v>13</v>
      </c>
      <c r="G11" s="674">
        <f>VLOOKUP(A11,'[12]Budget Share'!$A$9:$AL$181,38,FALSE)</f>
        <v>5207.6882614979722</v>
      </c>
      <c r="H11" s="674">
        <f t="shared" si="2"/>
        <v>15207.688261497973</v>
      </c>
      <c r="I11" s="675">
        <f t="shared" si="3"/>
        <v>197699.94739947366</v>
      </c>
      <c r="K11" s="652">
        <f t="shared" si="4"/>
        <v>130000</v>
      </c>
      <c r="L11" s="652">
        <f t="shared" si="5"/>
        <v>67699.947399473633</v>
      </c>
      <c r="M11" s="652">
        <f t="shared" si="0"/>
        <v>0</v>
      </c>
      <c r="N11" s="676">
        <f t="shared" si="6"/>
        <v>0</v>
      </c>
      <c r="P11" s="677"/>
      <c r="Q11" s="678">
        <f>(VLOOKUP(A11,[19]Sheet1!$A$7:$AF$22,7,FALSE)+VLOOKUP(A11,[19]Sheet1!$A$7:$AF$22,8,FALSE))*5/12</f>
        <v>0</v>
      </c>
      <c r="R11" s="678">
        <f>(VLOOKUP(A11,[19]Sheet1!$A$7:$AF$22,23,FALSE)+VLOOKUP(A11,[19]Sheet1!$A$7:$AF$22,24,FALSE))*7/12</f>
        <v>0</v>
      </c>
      <c r="S11" s="678">
        <f t="shared" si="7"/>
        <v>0</v>
      </c>
      <c r="T11" s="678">
        <f t="shared" si="8"/>
        <v>130000</v>
      </c>
      <c r="V11" s="650">
        <f>VLOOKUP($B11,'[20]Places deducted'!$B:$L,4,FALSE)</f>
        <v>0</v>
      </c>
      <c r="W11" s="650">
        <f>VLOOKUP($B11,'[20]Places deducted'!$B:$L,5,FALSE)</f>
        <v>0</v>
      </c>
      <c r="X11" s="650">
        <f>VLOOKUP($B11,'[20]Places deducted'!$B:$L,9,FALSE)</f>
        <v>0</v>
      </c>
      <c r="Y11" s="650">
        <f>VLOOKUP($B11,'[20]Places deducted'!$B:$L,10,FALSE)</f>
        <v>0</v>
      </c>
      <c r="Z11" s="679">
        <f t="shared" si="9"/>
        <v>0</v>
      </c>
      <c r="AA11" s="679">
        <f t="shared" si="9"/>
        <v>0</v>
      </c>
      <c r="AB11" s="679">
        <f t="shared" si="10"/>
        <v>0</v>
      </c>
      <c r="AC11" s="679">
        <f t="shared" si="10"/>
        <v>0</v>
      </c>
      <c r="AD11" s="680">
        <f t="shared" si="11"/>
        <v>0</v>
      </c>
      <c r="AF11" s="679">
        <f t="shared" si="12"/>
        <v>67699.947399473633</v>
      </c>
      <c r="AG11" s="681">
        <f t="shared" si="13"/>
        <v>130000.00000000003</v>
      </c>
      <c r="AH11" s="682"/>
      <c r="AI11" s="682">
        <f t="shared" si="15"/>
        <v>130000.00000000003</v>
      </c>
      <c r="AJ11" s="676">
        <f t="shared" si="1"/>
        <v>0</v>
      </c>
      <c r="AL11" s="684">
        <f>'[27]A4 Sheet'!$F$26</f>
        <v>54166.666666666664</v>
      </c>
      <c r="AM11" s="685"/>
      <c r="AO11" s="683">
        <f t="shared" si="14"/>
        <v>75833.333333333372</v>
      </c>
      <c r="AQ11" s="650" t="s">
        <v>457</v>
      </c>
    </row>
    <row r="12" spans="1:46" x14ac:dyDescent="0.35">
      <c r="A12" s="649">
        <v>3734230</v>
      </c>
      <c r="B12" s="649">
        <v>4230</v>
      </c>
      <c r="C12" s="653" t="s">
        <v>71</v>
      </c>
      <c r="D12" s="654">
        <f>VLOOKUP(A12,'[18]2021 to 2022 HN Data'!$C$8:$J$21,8,FALSE)</f>
        <v>24</v>
      </c>
      <c r="E12" s="686">
        <v>34</v>
      </c>
      <c r="F12" s="649">
        <v>34</v>
      </c>
      <c r="G12" s="674">
        <f>VLOOKUP(A12,'[12]Budget Share'!$A$9:$AL$181,38,FALSE)</f>
        <v>6174.932092838164</v>
      </c>
      <c r="H12" s="674">
        <f t="shared" si="2"/>
        <v>16174.932092838164</v>
      </c>
      <c r="I12" s="675">
        <f t="shared" si="3"/>
        <v>549947.69115649757</v>
      </c>
      <c r="K12" s="652">
        <f t="shared" si="4"/>
        <v>340000</v>
      </c>
      <c r="L12" s="652">
        <f t="shared" si="5"/>
        <v>209947.69115649757</v>
      </c>
      <c r="M12" s="652">
        <f t="shared" si="0"/>
        <v>0</v>
      </c>
      <c r="N12" s="676">
        <f t="shared" si="6"/>
        <v>0</v>
      </c>
      <c r="P12" s="677"/>
      <c r="Q12" s="678">
        <f>(VLOOKUP(A12,[19]Sheet1!$A$7:$AF$22,7,FALSE)+VLOOKUP(A12,[19]Sheet1!$A$7:$AF$22,8,FALSE))*5/12</f>
        <v>60000</v>
      </c>
      <c r="R12" s="678">
        <f>(VLOOKUP(A12,[19]Sheet1!$A$7:$AF$22,23,FALSE)+VLOOKUP(A12,[19]Sheet1!$A$7:$AF$22,24,FALSE))*7/12</f>
        <v>98000</v>
      </c>
      <c r="S12" s="678">
        <f t="shared" si="7"/>
        <v>158000</v>
      </c>
      <c r="T12" s="678">
        <f t="shared" si="8"/>
        <v>182000</v>
      </c>
      <c r="V12" s="650">
        <f>VLOOKUP($B12,'[20]Places deducted'!$B:$L,4,FALSE)</f>
        <v>24</v>
      </c>
      <c r="W12" s="650">
        <f>VLOOKUP($B12,'[20]Places deducted'!$B:$L,5,FALSE)</f>
        <v>0</v>
      </c>
      <c r="X12" s="650">
        <f>VLOOKUP($B12,'[20]Places deducted'!$B:$L,9,FALSE)</f>
        <v>28</v>
      </c>
      <c r="Y12" s="650">
        <f>VLOOKUP($B12,'[20]Places deducted'!$B:$L,10,FALSE)</f>
        <v>0</v>
      </c>
      <c r="Z12" s="679">
        <f t="shared" si="9"/>
        <v>60000</v>
      </c>
      <c r="AA12" s="679">
        <f t="shared" si="9"/>
        <v>0</v>
      </c>
      <c r="AB12" s="679">
        <f t="shared" si="10"/>
        <v>98000</v>
      </c>
      <c r="AC12" s="679">
        <f t="shared" si="10"/>
        <v>0</v>
      </c>
      <c r="AD12" s="680">
        <f t="shared" si="11"/>
        <v>158000</v>
      </c>
      <c r="AF12" s="679">
        <f t="shared" si="12"/>
        <v>209947.69115649757</v>
      </c>
      <c r="AG12" s="681">
        <f t="shared" si="13"/>
        <v>182000</v>
      </c>
      <c r="AH12" s="682"/>
      <c r="AI12" s="682">
        <f t="shared" si="15"/>
        <v>182000</v>
      </c>
      <c r="AJ12" s="676">
        <f t="shared" si="1"/>
        <v>0</v>
      </c>
      <c r="AL12" s="684">
        <f>'[28]A4 Sheet'!$F$26</f>
        <v>106714.08123756625</v>
      </c>
      <c r="AM12" s="685"/>
      <c r="AO12" s="683">
        <f t="shared" si="14"/>
        <v>75285.91876243375</v>
      </c>
      <c r="AQ12" s="650" t="s">
        <v>457</v>
      </c>
    </row>
    <row r="13" spans="1:46" x14ac:dyDescent="0.35">
      <c r="A13" s="649">
        <v>3732359</v>
      </c>
      <c r="B13" s="649">
        <v>2359</v>
      </c>
      <c r="C13" s="653" t="s">
        <v>391</v>
      </c>
      <c r="D13" s="654">
        <v>0</v>
      </c>
      <c r="E13" s="649">
        <v>0</v>
      </c>
      <c r="F13" s="649">
        <v>10</v>
      </c>
      <c r="G13" s="674">
        <f>VLOOKUP(A13,'[12]Budget Share'!$A$9:$AL$181,38,FALSE)</f>
        <v>5093.2282667516256</v>
      </c>
      <c r="H13" s="674">
        <f t="shared" si="2"/>
        <v>15093.228266751627</v>
      </c>
      <c r="I13" s="675">
        <f t="shared" si="3"/>
        <v>150932.28266751627</v>
      </c>
      <c r="K13" s="652">
        <f t="shared" si="4"/>
        <v>100000</v>
      </c>
      <c r="L13" s="652">
        <f t="shared" si="5"/>
        <v>0</v>
      </c>
      <c r="M13" s="652">
        <f t="shared" si="0"/>
        <v>50932.282667516258</v>
      </c>
      <c r="N13" s="676">
        <f t="shared" si="6"/>
        <v>0</v>
      </c>
      <c r="P13" s="677"/>
      <c r="Q13" s="678">
        <f>(VLOOKUP(A13,[19]Sheet1!$A$7:$AF$22,7,FALSE)+VLOOKUP(A13,[19]Sheet1!$A$7:$AF$22,8,FALSE))*5/12</f>
        <v>0</v>
      </c>
      <c r="R13" s="678">
        <f>(VLOOKUP(A13,[19]Sheet1!$A$7:$AF$22,23,FALSE)+VLOOKUP(A13,[19]Sheet1!$A$7:$AF$22,24,FALSE))*7/12</f>
        <v>0</v>
      </c>
      <c r="S13" s="678">
        <f t="shared" si="7"/>
        <v>0</v>
      </c>
      <c r="T13" s="678">
        <f t="shared" si="8"/>
        <v>150932.28266751627</v>
      </c>
      <c r="V13" s="650">
        <f>VLOOKUP($B13,'[20]Places deducted'!$B:$L,4,FALSE)</f>
        <v>0</v>
      </c>
      <c r="W13" s="650">
        <f>VLOOKUP($B13,'[20]Places deducted'!$B:$L,5,FALSE)</f>
        <v>0</v>
      </c>
      <c r="X13" s="650">
        <f>VLOOKUP($B13,'[20]Places deducted'!$B:$L,9,FALSE)</f>
        <v>0</v>
      </c>
      <c r="Y13" s="650">
        <f>VLOOKUP($B13,'[20]Places deducted'!$B:$L,10,FALSE)</f>
        <v>0</v>
      </c>
      <c r="Z13" s="679">
        <f t="shared" si="9"/>
        <v>0</v>
      </c>
      <c r="AA13" s="679">
        <f t="shared" si="9"/>
        <v>0</v>
      </c>
      <c r="AB13" s="679">
        <f t="shared" si="10"/>
        <v>0</v>
      </c>
      <c r="AC13" s="679">
        <f t="shared" si="10"/>
        <v>0</v>
      </c>
      <c r="AD13" s="680">
        <f t="shared" si="11"/>
        <v>0</v>
      </c>
      <c r="AF13" s="679">
        <f t="shared" si="12"/>
        <v>0</v>
      </c>
      <c r="AG13" s="681">
        <f t="shared" si="13"/>
        <v>150932.28266751627</v>
      </c>
      <c r="AH13" s="682"/>
      <c r="AI13" s="682">
        <f t="shared" si="15"/>
        <v>150932.28266751627</v>
      </c>
      <c r="AJ13" s="676">
        <f t="shared" si="1"/>
        <v>0</v>
      </c>
      <c r="AL13" s="685">
        <f>ROUND(AI13*9/12,0)</f>
        <v>113199</v>
      </c>
      <c r="AM13" s="685"/>
      <c r="AO13" s="683">
        <f t="shared" si="14"/>
        <v>37733.282667516265</v>
      </c>
      <c r="AT13" s="650" t="s">
        <v>458</v>
      </c>
    </row>
    <row r="14" spans="1:46" s="710" customFormat="1" x14ac:dyDescent="0.35">
      <c r="A14" s="705">
        <v>3732087</v>
      </c>
      <c r="B14" s="705">
        <v>2087</v>
      </c>
      <c r="C14" s="706" t="s">
        <v>210</v>
      </c>
      <c r="D14" s="707"/>
      <c r="E14" s="705">
        <v>14</v>
      </c>
      <c r="F14" s="705">
        <v>14</v>
      </c>
      <c r="G14" s="708">
        <f>VLOOKUP(A14,'[12]Budget Share'!$A$9:$AL$181,38,FALSE)</f>
        <v>4329.3925278551551</v>
      </c>
      <c r="H14" s="708">
        <f t="shared" si="2"/>
        <v>14329.392527855154</v>
      </c>
      <c r="I14" s="709">
        <f t="shared" si="3"/>
        <v>200611.49538997217</v>
      </c>
      <c r="K14" s="711">
        <f t="shared" si="4"/>
        <v>140000</v>
      </c>
      <c r="L14" s="711">
        <f t="shared" si="5"/>
        <v>60611.495389972173</v>
      </c>
      <c r="M14" s="711">
        <f t="shared" si="0"/>
        <v>0</v>
      </c>
      <c r="N14" s="712">
        <f t="shared" si="6"/>
        <v>0</v>
      </c>
      <c r="P14" s="713"/>
      <c r="Q14" s="714">
        <f>(VLOOKUP(A14,[19]Sheet1!$A$7:$AF$22,7,FALSE)+VLOOKUP(A14,[19]Sheet1!$A$7:$AF$22,8,FALSE))*5/12</f>
        <v>0</v>
      </c>
      <c r="R14" s="714">
        <f>(VLOOKUP(A14,[19]Sheet1!$A$7:$AF$22,23,FALSE)+VLOOKUP(A14,[19]Sheet1!$A$7:$AF$22,24,FALSE))*7/12</f>
        <v>0</v>
      </c>
      <c r="S14" s="714">
        <f t="shared" si="7"/>
        <v>0</v>
      </c>
      <c r="T14" s="714">
        <f t="shared" si="8"/>
        <v>140000</v>
      </c>
      <c r="V14" s="710">
        <f>VLOOKUP($B14,'[20]Places deducted'!$B:$L,4,FALSE)</f>
        <v>0</v>
      </c>
      <c r="W14" s="710">
        <f>VLOOKUP($B14,'[20]Places deducted'!$B:$L,5,FALSE)</f>
        <v>0</v>
      </c>
      <c r="X14" s="710">
        <f>VLOOKUP($B14,'[20]Places deducted'!$B:$L,9,FALSE)</f>
        <v>0</v>
      </c>
      <c r="Y14" s="710">
        <f>VLOOKUP($B14,'[20]Places deducted'!$B:$L,10,FALSE)</f>
        <v>0</v>
      </c>
      <c r="Z14" s="715">
        <f t="shared" si="9"/>
        <v>0</v>
      </c>
      <c r="AA14" s="715">
        <f t="shared" si="9"/>
        <v>0</v>
      </c>
      <c r="AB14" s="715">
        <f t="shared" si="10"/>
        <v>0</v>
      </c>
      <c r="AC14" s="715">
        <f t="shared" si="10"/>
        <v>0</v>
      </c>
      <c r="AD14" s="716">
        <f t="shared" si="11"/>
        <v>0</v>
      </c>
      <c r="AF14" s="715">
        <f t="shared" si="12"/>
        <v>60611.495389972173</v>
      </c>
      <c r="AG14" s="717">
        <f t="shared" si="13"/>
        <v>140000</v>
      </c>
      <c r="AH14" s="717">
        <f>AG14</f>
        <v>140000</v>
      </c>
      <c r="AJ14" s="712">
        <f t="shared" si="1"/>
        <v>0</v>
      </c>
      <c r="AK14" s="718"/>
      <c r="AL14" s="719"/>
      <c r="AM14" s="719"/>
      <c r="AN14" s="718"/>
      <c r="AO14" s="720">
        <f t="shared" si="14"/>
        <v>0</v>
      </c>
      <c r="AQ14" s="712"/>
    </row>
    <row r="15" spans="1:46" x14ac:dyDescent="0.35">
      <c r="A15" s="649">
        <v>3732309</v>
      </c>
      <c r="B15" s="649">
        <v>2309</v>
      </c>
      <c r="C15" s="653" t="s">
        <v>211</v>
      </c>
      <c r="D15" s="654">
        <f>VLOOKUP(A15,'[18]2021 to 2022 HN Data'!$C$8:$J$21,8,FALSE)</f>
        <v>13</v>
      </c>
      <c r="E15" s="649">
        <v>12</v>
      </c>
      <c r="F15" s="649">
        <v>13</v>
      </c>
      <c r="G15" s="674">
        <f>VLOOKUP(A15,'[12]Budget Share'!$A$9:$AL$181,38,FALSE)</f>
        <v>4398.4137695442923</v>
      </c>
      <c r="H15" s="674">
        <f t="shared" si="2"/>
        <v>14398.413769544291</v>
      </c>
      <c r="I15" s="675">
        <f t="shared" si="3"/>
        <v>187179.37900407577</v>
      </c>
      <c r="K15" s="652">
        <f t="shared" si="4"/>
        <v>130000</v>
      </c>
      <c r="L15" s="652">
        <f t="shared" si="5"/>
        <v>52780.965234531512</v>
      </c>
      <c r="M15" s="652">
        <f t="shared" si="0"/>
        <v>4398.4137695442923</v>
      </c>
      <c r="N15" s="676">
        <f t="shared" si="6"/>
        <v>0</v>
      </c>
      <c r="P15" s="677"/>
      <c r="Q15" s="678">
        <f>(VLOOKUP(A15,[19]Sheet1!$A$7:$AF$22,7,FALSE)+VLOOKUP(A15,[19]Sheet1!$A$7:$AF$22,8,FALSE))*5/12</f>
        <v>34166.666666666664</v>
      </c>
      <c r="R15" s="678">
        <f>(VLOOKUP(A15,[19]Sheet1!$A$7:$AF$22,23,FALSE)+VLOOKUP(A15,[19]Sheet1!$A$7:$AF$22,24,FALSE))*7/12</f>
        <v>45500</v>
      </c>
      <c r="S15" s="678">
        <f t="shared" si="7"/>
        <v>79666.666666666657</v>
      </c>
      <c r="T15" s="678">
        <f t="shared" si="8"/>
        <v>54731.747102877649</v>
      </c>
      <c r="V15" s="650">
        <f>VLOOKUP($B15,'[20]Places deducted'!$B:$L,4,FALSE)</f>
        <v>12</v>
      </c>
      <c r="W15" s="650">
        <f>VLOOKUP($B15,'[20]Places deducted'!$B:$L,5,FALSE)</f>
        <v>1</v>
      </c>
      <c r="X15" s="650">
        <f>VLOOKUP($B15,'[20]Places deducted'!$B:$L,9,FALSE)</f>
        <v>13</v>
      </c>
      <c r="Y15" s="650">
        <f>VLOOKUP($B15,'[20]Places deducted'!$B:$L,10,FALSE)</f>
        <v>0</v>
      </c>
      <c r="Z15" s="679">
        <f t="shared" si="9"/>
        <v>30000</v>
      </c>
      <c r="AA15" s="679">
        <f t="shared" si="9"/>
        <v>4166.666666666667</v>
      </c>
      <c r="AB15" s="679">
        <f t="shared" si="10"/>
        <v>45500</v>
      </c>
      <c r="AC15" s="679">
        <f t="shared" si="10"/>
        <v>0</v>
      </c>
      <c r="AD15" s="680">
        <f t="shared" si="11"/>
        <v>79666.666666666657</v>
      </c>
      <c r="AF15" s="679">
        <f t="shared" si="12"/>
        <v>52780.965234531512</v>
      </c>
      <c r="AG15" s="681">
        <f t="shared" si="13"/>
        <v>54731.747102877605</v>
      </c>
      <c r="AH15" s="682"/>
      <c r="AI15" s="682">
        <f t="shared" si="15"/>
        <v>54731.747102877605</v>
      </c>
      <c r="AJ15" s="676">
        <f t="shared" si="1"/>
        <v>0</v>
      </c>
      <c r="AL15" s="684">
        <f>'[29]A4 Sheet'!$F$26</f>
        <v>25969.125198732236</v>
      </c>
      <c r="AM15" s="685"/>
      <c r="AO15" s="683">
        <f t="shared" si="14"/>
        <v>28762.62190414537</v>
      </c>
      <c r="AQ15" s="650" t="s">
        <v>457</v>
      </c>
    </row>
    <row r="16" spans="1:46" x14ac:dyDescent="0.35">
      <c r="A16" s="649">
        <v>3733414</v>
      </c>
      <c r="B16" s="649">
        <v>3414</v>
      </c>
      <c r="C16" s="653" t="s">
        <v>212</v>
      </c>
      <c r="D16" s="654">
        <f>VLOOKUP(A16,'[18]2021 to 2022 HN Data'!$C$8:$J$21,8,FALSE)</f>
        <v>18</v>
      </c>
      <c r="E16" s="649">
        <v>12</v>
      </c>
      <c r="F16" s="649">
        <v>18</v>
      </c>
      <c r="G16" s="674">
        <f>VLOOKUP(A16,'[12]Budget Share'!$A$9:$AL$181,38,FALSE)</f>
        <v>4423.9985980542642</v>
      </c>
      <c r="H16" s="674">
        <f t="shared" si="2"/>
        <v>14423.998598054264</v>
      </c>
      <c r="I16" s="675">
        <f t="shared" si="3"/>
        <v>259631.97476497677</v>
      </c>
      <c r="K16" s="652">
        <f t="shared" si="4"/>
        <v>180000</v>
      </c>
      <c r="L16" s="652">
        <f t="shared" si="5"/>
        <v>53087.983176651171</v>
      </c>
      <c r="M16" s="652">
        <f t="shared" si="0"/>
        <v>26543.991588325585</v>
      </c>
      <c r="N16" s="676">
        <f t="shared" si="6"/>
        <v>0</v>
      </c>
      <c r="P16" s="677"/>
      <c r="Q16" s="678">
        <f>(VLOOKUP(A16,[19]Sheet1!$A$7:$AF$22,7,FALSE)+VLOOKUP(A16,[19]Sheet1!$A$7:$AF$22,8,FALSE))*5/12</f>
        <v>50000</v>
      </c>
      <c r="R16" s="678">
        <f>(VLOOKUP(A16,[19]Sheet1!$A$7:$AF$22,23,FALSE)+VLOOKUP(A16,[19]Sheet1!$A$7:$AF$22,24,FALSE))*7/12</f>
        <v>63000</v>
      </c>
      <c r="S16" s="678">
        <f t="shared" si="7"/>
        <v>113000</v>
      </c>
      <c r="T16" s="678">
        <f t="shared" si="8"/>
        <v>93543.991588325589</v>
      </c>
      <c r="V16" s="650">
        <f>VLOOKUP($B16,'[20]Places deducted'!$B:$L,4,FALSE)</f>
        <v>15</v>
      </c>
      <c r="W16" s="650">
        <f>VLOOKUP($B16,'[20]Places deducted'!$B:$L,5,FALSE)</f>
        <v>3</v>
      </c>
      <c r="X16" s="650">
        <f>VLOOKUP($B16,'[20]Places deducted'!$B:$L,9,FALSE)</f>
        <v>18</v>
      </c>
      <c r="Y16" s="650">
        <f>VLOOKUP($B16,'[20]Places deducted'!$B:$L,10,FALSE)</f>
        <v>0</v>
      </c>
      <c r="Z16" s="679">
        <f t="shared" si="9"/>
        <v>37500</v>
      </c>
      <c r="AA16" s="679">
        <f t="shared" si="9"/>
        <v>12500</v>
      </c>
      <c r="AB16" s="679">
        <f t="shared" si="10"/>
        <v>63000</v>
      </c>
      <c r="AC16" s="679">
        <f t="shared" si="10"/>
        <v>0</v>
      </c>
      <c r="AD16" s="680">
        <f t="shared" si="11"/>
        <v>113000</v>
      </c>
      <c r="AF16" s="679">
        <f t="shared" si="12"/>
        <v>53087.983176651171</v>
      </c>
      <c r="AG16" s="681">
        <f t="shared" si="13"/>
        <v>93543.991588325589</v>
      </c>
      <c r="AH16" s="682"/>
      <c r="AI16" s="682">
        <f t="shared" si="15"/>
        <v>93543.991588325589</v>
      </c>
      <c r="AJ16" s="676">
        <f t="shared" si="1"/>
        <v>0</v>
      </c>
      <c r="AL16" s="684">
        <f>'[30]A4 Sheet'!$F$26</f>
        <v>38783.745597449684</v>
      </c>
      <c r="AM16" s="685"/>
      <c r="AO16" s="683">
        <f t="shared" si="14"/>
        <v>54760.245990875905</v>
      </c>
      <c r="AQ16" s="650" t="s">
        <v>457</v>
      </c>
    </row>
    <row r="17" spans="1:43" s="710" customFormat="1" x14ac:dyDescent="0.35">
      <c r="A17" s="705">
        <v>3732350</v>
      </c>
      <c r="B17" s="705">
        <v>2350</v>
      </c>
      <c r="C17" s="706" t="s">
        <v>37</v>
      </c>
      <c r="D17" s="707"/>
      <c r="E17" s="705">
        <v>20</v>
      </c>
      <c r="F17" s="705">
        <v>20</v>
      </c>
      <c r="G17" s="708">
        <f>VLOOKUP(A17,'[12]Budget Share'!$A$9:$AL$181,38,FALSE)</f>
        <v>4967.0962166623403</v>
      </c>
      <c r="H17" s="708">
        <f t="shared" si="2"/>
        <v>14967.096216662339</v>
      </c>
      <c r="I17" s="709">
        <f t="shared" si="3"/>
        <v>299341.92433324677</v>
      </c>
      <c r="K17" s="711">
        <f t="shared" si="4"/>
        <v>200000</v>
      </c>
      <c r="L17" s="711">
        <f t="shared" si="5"/>
        <v>99341.924333246803</v>
      </c>
      <c r="M17" s="711">
        <f t="shared" si="0"/>
        <v>0</v>
      </c>
      <c r="N17" s="712">
        <f t="shared" si="6"/>
        <v>0</v>
      </c>
      <c r="P17" s="713"/>
      <c r="Q17" s="714">
        <f>(VLOOKUP(A17,[19]Sheet1!$A$7:$AF$22,7,FALSE)+VLOOKUP(A17,[19]Sheet1!$A$7:$AF$22,8,FALSE))*5/12</f>
        <v>0</v>
      </c>
      <c r="R17" s="714">
        <f>(VLOOKUP(A17,[19]Sheet1!$A$7:$AF$22,23,FALSE)+VLOOKUP(A17,[19]Sheet1!$A$7:$AF$22,24,FALSE))*7/12</f>
        <v>0</v>
      </c>
      <c r="S17" s="714">
        <f t="shared" si="7"/>
        <v>0</v>
      </c>
      <c r="T17" s="714">
        <f t="shared" si="8"/>
        <v>200000</v>
      </c>
      <c r="V17" s="710">
        <f>VLOOKUP($B17,'[20]Places deducted'!$B:$L,4,FALSE)</f>
        <v>0</v>
      </c>
      <c r="W17" s="710">
        <f>VLOOKUP($B17,'[20]Places deducted'!$B:$L,5,FALSE)</f>
        <v>0</v>
      </c>
      <c r="X17" s="710">
        <f>VLOOKUP($B17,'[20]Places deducted'!$B:$L,9,FALSE)</f>
        <v>0</v>
      </c>
      <c r="Y17" s="710">
        <f>VLOOKUP($B17,'[20]Places deducted'!$B:$L,10,FALSE)</f>
        <v>0</v>
      </c>
      <c r="Z17" s="715">
        <f t="shared" si="9"/>
        <v>0</v>
      </c>
      <c r="AA17" s="715">
        <f t="shared" si="9"/>
        <v>0</v>
      </c>
      <c r="AB17" s="715">
        <f t="shared" si="10"/>
        <v>0</v>
      </c>
      <c r="AC17" s="715">
        <f t="shared" si="10"/>
        <v>0</v>
      </c>
      <c r="AD17" s="716">
        <f t="shared" si="11"/>
        <v>0</v>
      </c>
      <c r="AF17" s="715">
        <f t="shared" si="12"/>
        <v>99341.924333246803</v>
      </c>
      <c r="AG17" s="717">
        <f t="shared" si="13"/>
        <v>199999.99999999997</v>
      </c>
      <c r="AH17" s="717">
        <f>AG17</f>
        <v>199999.99999999997</v>
      </c>
      <c r="AJ17" s="712">
        <f t="shared" si="1"/>
        <v>0</v>
      </c>
      <c r="AK17" s="718"/>
      <c r="AL17" s="719"/>
      <c r="AM17" s="719"/>
      <c r="AN17" s="718"/>
      <c r="AO17" s="720">
        <f t="shared" si="14"/>
        <v>0</v>
      </c>
    </row>
    <row r="18" spans="1:43" x14ac:dyDescent="0.35">
      <c r="A18" s="649">
        <v>3732311</v>
      </c>
      <c r="B18" s="649">
        <v>2311</v>
      </c>
      <c r="C18" s="653" t="s">
        <v>213</v>
      </c>
      <c r="D18" s="654">
        <f>VLOOKUP(A18,'[18]2021 to 2022 HN Data'!$C$8:$J$21,8,FALSE)</f>
        <v>22</v>
      </c>
      <c r="E18" s="649">
        <f>VLOOKUP(A18,'[31]IR places for mainstream formul'!$A$9:$I$185,9,FALSE)</f>
        <v>18</v>
      </c>
      <c r="F18" s="649">
        <v>22</v>
      </c>
      <c r="G18" s="674">
        <f>VLOOKUP(A18,'[12]Budget Share'!$A$9:$AL$181,38,FALSE)</f>
        <v>5157.040100788111</v>
      </c>
      <c r="H18" s="674">
        <f t="shared" si="2"/>
        <v>15157.040100788112</v>
      </c>
      <c r="I18" s="675">
        <f t="shared" si="3"/>
        <v>333454.88221733848</v>
      </c>
      <c r="K18" s="652">
        <f t="shared" si="4"/>
        <v>220000</v>
      </c>
      <c r="L18" s="652">
        <f t="shared" si="5"/>
        <v>92826.721814185992</v>
      </c>
      <c r="M18" s="652">
        <f t="shared" si="0"/>
        <v>20628.160403152444</v>
      </c>
      <c r="N18" s="676">
        <f t="shared" si="6"/>
        <v>0</v>
      </c>
      <c r="P18" s="677"/>
      <c r="Q18" s="678">
        <f>(VLOOKUP(A18,[19]Sheet1!$A$7:$AF$22,7,FALSE)+VLOOKUP(A18,[19]Sheet1!$A$7:$AF$22,8,FALSE))*5/12</f>
        <v>61666.666666666664</v>
      </c>
      <c r="R18" s="678">
        <f>(VLOOKUP(A18,[19]Sheet1!$A$7:$AF$22,23,FALSE)+VLOOKUP(A18,[19]Sheet1!$A$7:$AF$22,24,FALSE))*7/12</f>
        <v>77000</v>
      </c>
      <c r="S18" s="678">
        <f t="shared" si="7"/>
        <v>138666.66666666666</v>
      </c>
      <c r="T18" s="678">
        <f t="shared" si="8"/>
        <v>101961.49373648578</v>
      </c>
      <c r="V18" s="650">
        <f>VLOOKUP($B18,'[20]Places deducted'!$B:$L,4,FALSE)</f>
        <v>18</v>
      </c>
      <c r="W18" s="650">
        <f>VLOOKUP($B18,'[20]Places deducted'!$B:$L,5,FALSE)</f>
        <v>4</v>
      </c>
      <c r="X18" s="650">
        <f>VLOOKUP($B18,'[20]Places deducted'!$B:$L,9,FALSE)</f>
        <v>22</v>
      </c>
      <c r="Y18" s="650">
        <f>VLOOKUP($B18,'[20]Places deducted'!$B:$L,10,FALSE)</f>
        <v>0</v>
      </c>
      <c r="Z18" s="679">
        <f t="shared" si="9"/>
        <v>45000</v>
      </c>
      <c r="AA18" s="679">
        <f t="shared" si="9"/>
        <v>16666.666666666668</v>
      </c>
      <c r="AB18" s="679">
        <f t="shared" si="10"/>
        <v>77000</v>
      </c>
      <c r="AC18" s="679">
        <f t="shared" si="10"/>
        <v>0</v>
      </c>
      <c r="AD18" s="680">
        <f t="shared" si="11"/>
        <v>138666.66666666669</v>
      </c>
      <c r="AF18" s="679">
        <f t="shared" si="12"/>
        <v>92826.721814185992</v>
      </c>
      <c r="AG18" s="681">
        <f t="shared" si="13"/>
        <v>101961.49373648581</v>
      </c>
      <c r="AH18" s="682"/>
      <c r="AI18" s="682">
        <f t="shared" si="15"/>
        <v>101961.49373648581</v>
      </c>
      <c r="AJ18" s="676">
        <f t="shared" si="1"/>
        <v>0</v>
      </c>
      <c r="AL18" s="684">
        <f>'[32]A4 Sheet'!$F$26</f>
        <v>55072.303826148382</v>
      </c>
      <c r="AM18" s="685"/>
      <c r="AO18" s="683">
        <f t="shared" si="14"/>
        <v>46889.189910337423</v>
      </c>
      <c r="AQ18" s="650" t="s">
        <v>457</v>
      </c>
    </row>
    <row r="19" spans="1:43" x14ac:dyDescent="0.35">
      <c r="A19" s="655">
        <f>'[22]Place Change Notification (PCN)'!$G$16</f>
        <v>3732040</v>
      </c>
      <c r="B19" s="656">
        <v>2040</v>
      </c>
      <c r="C19" s="653" t="str">
        <f>'[22]Place Change Notification (PCN)'!$H$16</f>
        <v>Whiteways</v>
      </c>
      <c r="D19" s="654">
        <v>10</v>
      </c>
      <c r="E19" s="649">
        <v>9</v>
      </c>
      <c r="F19" s="649">
        <v>10</v>
      </c>
      <c r="G19" s="674">
        <f>VLOOKUP(A19,'[12]Budget Share'!$A$9:$AL$181,38,FALSE)</f>
        <v>5322.0599312803943</v>
      </c>
      <c r="H19" s="674">
        <f t="shared" si="2"/>
        <v>15322.059931280393</v>
      </c>
      <c r="I19" s="675">
        <f t="shared" si="3"/>
        <v>153220.59931280394</v>
      </c>
      <c r="K19" s="652">
        <f t="shared" si="4"/>
        <v>100000</v>
      </c>
      <c r="L19" s="652">
        <f t="shared" si="5"/>
        <v>47898.539381523551</v>
      </c>
      <c r="M19" s="652">
        <f t="shared" si="0"/>
        <v>5322.0599312803943</v>
      </c>
      <c r="N19" s="676">
        <f t="shared" si="6"/>
        <v>0</v>
      </c>
      <c r="P19" s="677"/>
      <c r="Q19" s="678">
        <f>(VLOOKUP(A19,[19]Sheet1!$A$7:$AF$22,7,FALSE)+VLOOKUP(A19,[19]Sheet1!$A$7:$AF$22,8,FALSE))*5/12</f>
        <v>41666.666666666664</v>
      </c>
      <c r="R19" s="678">
        <f>(VLOOKUP(A19,[19]Sheet1!$A$7:$AF$22,23,FALSE)+VLOOKUP(A19,[19]Sheet1!$A$7:$AF$22,24,FALSE))*7/12</f>
        <v>35000</v>
      </c>
      <c r="S19" s="678">
        <f t="shared" si="7"/>
        <v>76666.666666666657</v>
      </c>
      <c r="T19" s="678">
        <f t="shared" si="8"/>
        <v>28655.39326461374</v>
      </c>
      <c r="V19" s="650">
        <f>VLOOKUP($B19,'[20]Places deducted'!$B:$L,4,FALSE)</f>
        <v>5</v>
      </c>
      <c r="W19" s="650">
        <f>VLOOKUP($B19,'[20]Places deducted'!$B:$L,5,FALSE)</f>
        <v>7</v>
      </c>
      <c r="X19" s="650">
        <f>VLOOKUP($B19,'[20]Places deducted'!$B:$L,9,FALSE)</f>
        <v>10</v>
      </c>
      <c r="Y19" s="650">
        <f>VLOOKUP($B19,'[20]Places deducted'!$B:$L,10,FALSE)</f>
        <v>0</v>
      </c>
      <c r="Z19" s="679">
        <f t="shared" si="9"/>
        <v>12500</v>
      </c>
      <c r="AA19" s="679">
        <f t="shared" si="9"/>
        <v>29166.666666666668</v>
      </c>
      <c r="AB19" s="679">
        <f t="shared" si="10"/>
        <v>35000</v>
      </c>
      <c r="AC19" s="679">
        <f t="shared" si="10"/>
        <v>0</v>
      </c>
      <c r="AD19" s="680">
        <f t="shared" si="11"/>
        <v>76666.666666666672</v>
      </c>
      <c r="AF19" s="679">
        <f t="shared" si="12"/>
        <v>47898.539381523551</v>
      </c>
      <c r="AG19" s="681">
        <f t="shared" si="13"/>
        <v>28655.393264613718</v>
      </c>
      <c r="AH19" s="682"/>
      <c r="AI19" s="682">
        <f t="shared" si="15"/>
        <v>28655.393264613718</v>
      </c>
      <c r="AJ19" s="676">
        <f t="shared" si="1"/>
        <v>0</v>
      </c>
      <c r="AL19" s="684">
        <f>'[33]A4 Sheet'!$F$26</f>
        <v>23182.971545543569</v>
      </c>
      <c r="AM19" s="685"/>
      <c r="AO19" s="683">
        <f t="shared" si="14"/>
        <v>5472.4217190701493</v>
      </c>
      <c r="AQ19" s="650" t="s">
        <v>457</v>
      </c>
    </row>
    <row r="20" spans="1:43" x14ac:dyDescent="0.35">
      <c r="A20" s="656"/>
      <c r="B20" s="656"/>
      <c r="C20" s="687" t="s">
        <v>214</v>
      </c>
      <c r="D20" s="688">
        <f>SUM(D4:D19)</f>
        <v>157</v>
      </c>
      <c r="E20" s="688">
        <f t="shared" ref="E20:F20" si="16">SUM(E4:E19)</f>
        <v>225</v>
      </c>
      <c r="F20" s="688">
        <f t="shared" si="16"/>
        <v>254</v>
      </c>
      <c r="G20" s="688"/>
      <c r="H20" s="689">
        <f>SUM(H4:H19)</f>
        <v>243026.535420648</v>
      </c>
      <c r="I20" s="689">
        <f>SUM(I4:I19)</f>
        <v>3880749.2186644897</v>
      </c>
      <c r="K20" s="689">
        <f>SUM(K4:K19)</f>
        <v>2540000</v>
      </c>
      <c r="L20" s="689">
        <f t="shared" ref="L20:M20" si="17">SUM(L4:L19)</f>
        <v>1191387.4630922147</v>
      </c>
      <c r="M20" s="689">
        <f t="shared" si="17"/>
        <v>149361.75557227526</v>
      </c>
      <c r="P20" s="677"/>
      <c r="Q20" s="689">
        <f t="shared" ref="Q20:T20" si="18">SUM(Q4:Q19)</f>
        <v>436666.66666666669</v>
      </c>
      <c r="R20" s="689">
        <f t="shared" si="18"/>
        <v>579833.33333333326</v>
      </c>
      <c r="S20" s="689">
        <f t="shared" si="18"/>
        <v>1016499.9999999999</v>
      </c>
      <c r="T20" s="689">
        <f t="shared" si="18"/>
        <v>1672861.7555722753</v>
      </c>
      <c r="V20" s="690">
        <f>SUM(V4:V19)</f>
        <v>138</v>
      </c>
      <c r="W20" s="690">
        <f t="shared" ref="W20:Y20" si="19">SUM(W4:W19)</f>
        <v>22</v>
      </c>
      <c r="X20" s="690">
        <f t="shared" si="19"/>
        <v>154</v>
      </c>
      <c r="Y20" s="690">
        <f t="shared" si="19"/>
        <v>7</v>
      </c>
      <c r="Z20" s="691">
        <f>SUM(Z4:Z19)</f>
        <v>345000</v>
      </c>
      <c r="AA20" s="691">
        <f t="shared" ref="AA20:AC20" si="20">SUM(AA4:AA19)</f>
        <v>91666.666666666672</v>
      </c>
      <c r="AB20" s="691">
        <f t="shared" si="20"/>
        <v>539000</v>
      </c>
      <c r="AC20" s="691">
        <f t="shared" si="20"/>
        <v>40833.333333333336</v>
      </c>
      <c r="AD20" s="680">
        <f t="shared" si="11"/>
        <v>1016500.0000000001</v>
      </c>
      <c r="AF20" s="680">
        <f>SUM(AF4:AF19)</f>
        <v>1191387.4630922147</v>
      </c>
      <c r="AG20" s="680">
        <f>SUM(AG4:AG19)</f>
        <v>1672861.7555722753</v>
      </c>
      <c r="AH20" s="692">
        <f t="shared" ref="AH20:AI20" si="21">SUM(AH4:AH19)</f>
        <v>490000</v>
      </c>
      <c r="AI20" s="692">
        <f t="shared" si="21"/>
        <v>1182861.7555722753</v>
      </c>
      <c r="AJ20" s="680">
        <f>SUM(AG2)</f>
        <v>0</v>
      </c>
      <c r="AL20" s="678">
        <f>SUM(AL4:AL19)</f>
        <v>580339.31838773971</v>
      </c>
      <c r="AM20" s="678"/>
    </row>
    <row r="21" spans="1:43" x14ac:dyDescent="0.35">
      <c r="AD21" s="693">
        <f>SUM(AD20)</f>
        <v>1016500.0000000001</v>
      </c>
      <c r="AG21" s="678">
        <f>T20</f>
        <v>1672861.7555722753</v>
      </c>
      <c r="AH21" s="678"/>
      <c r="AI21" s="678"/>
    </row>
    <row r="22" spans="1:43" x14ac:dyDescent="0.35">
      <c r="Q22" s="689">
        <f>[34]High_needs_deductions!$C$181+[34]High_needs_deductions!$F$181</f>
        <v>436666.66666666669</v>
      </c>
      <c r="R22" s="689">
        <f>[34]High_needs_deductions!$D$181+[34]High_needs_deductions!$G$181</f>
        <v>579833.33333333337</v>
      </c>
      <c r="S22" s="689">
        <f>[34]High_needs_deductions!$E$62+[34]High_needs_deductions!$H$62</f>
        <v>1016501</v>
      </c>
      <c r="T22" s="689">
        <f>[35]DSG2223!$L$11+[35]DSG2223!$L$12</f>
        <v>949361.75557227526</v>
      </c>
      <c r="AD22" s="693">
        <f>AD21-AD20</f>
        <v>0</v>
      </c>
      <c r="AG22" s="693">
        <f>AG21-AG20</f>
        <v>0</v>
      </c>
      <c r="AH22" s="693"/>
      <c r="AI22" s="693"/>
    </row>
    <row r="23" spans="1:43" x14ac:dyDescent="0.35">
      <c r="Q23" s="694"/>
      <c r="R23" s="694"/>
      <c r="S23" s="694"/>
      <c r="T23" s="689"/>
    </row>
    <row r="24" spans="1:43" x14ac:dyDescent="0.35">
      <c r="G24" s="650" t="s">
        <v>240</v>
      </c>
      <c r="I24" s="689">
        <f>I5+I14+I17</f>
        <v>731027.43780223699</v>
      </c>
      <c r="K24" s="689">
        <f>K5+K14+K17</f>
        <v>490000</v>
      </c>
      <c r="M24" s="689">
        <f>M5+M14+M17</f>
        <v>0</v>
      </c>
      <c r="Q24" s="678">
        <f>Q20-Q22</f>
        <v>0</v>
      </c>
      <c r="R24" s="678">
        <f t="shared" ref="R24:S24" si="22">R20-R22</f>
        <v>0</v>
      </c>
      <c r="S24" s="678">
        <f t="shared" si="22"/>
        <v>-1.0000000001164153</v>
      </c>
      <c r="T24" s="689">
        <f>T5+T14+T17</f>
        <v>490000</v>
      </c>
    </row>
    <row r="25" spans="1:43" x14ac:dyDescent="0.35">
      <c r="G25" s="650" t="s">
        <v>241</v>
      </c>
      <c r="I25" s="689">
        <f>I20-I24</f>
        <v>3149721.7808622527</v>
      </c>
      <c r="K25" s="689">
        <f>K20-K24</f>
        <v>2050000</v>
      </c>
      <c r="M25" s="689">
        <f>M20-M24</f>
        <v>149361.75557227526</v>
      </c>
      <c r="T25" s="689">
        <f>T20-T24</f>
        <v>1182861.7555722753</v>
      </c>
    </row>
    <row r="27" spans="1:43" x14ac:dyDescent="0.35">
      <c r="G27" s="650" t="s">
        <v>425</v>
      </c>
      <c r="I27" s="689">
        <f>I6+I8+I10+I11+I13+I15+I16+I18+I19</f>
        <v>1857243.6078760102</v>
      </c>
      <c r="T27" s="689">
        <f>T6+T8+T10+T11+T13+T15+T16+T18+T19</f>
        <v>761824.90835981898</v>
      </c>
    </row>
    <row r="28" spans="1:43" x14ac:dyDescent="0.35">
      <c r="G28" s="650" t="s">
        <v>426</v>
      </c>
      <c r="I28" s="689">
        <f>I4+I7+I9+I12</f>
        <v>1292478.1729862425</v>
      </c>
      <c r="T28" s="689">
        <f>T4+T7+T9+T12</f>
        <v>421036.84721245628</v>
      </c>
    </row>
  </sheetData>
  <mergeCells count="2">
    <mergeCell ref="V1:Y1"/>
    <mergeCell ref="Z1:AC1"/>
  </mergeCell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E8B61-7147-4E17-8C2B-CAAB33A6B156}">
  <dimension ref="A1:T35"/>
  <sheetViews>
    <sheetView showGridLines="0" showRowColHeaders="0" workbookViewId="0">
      <selection activeCell="E1" sqref="E1"/>
    </sheetView>
  </sheetViews>
  <sheetFormatPr defaultRowHeight="12.5" x14ac:dyDescent="0.25"/>
  <cols>
    <col min="4" max="4" width="39.08984375" bestFit="1" customWidth="1"/>
    <col min="5" max="5" width="13.36328125" customWidth="1"/>
    <col min="6" max="6" width="13.36328125" hidden="1" customWidth="1"/>
    <col min="7" max="8" width="11.36328125" customWidth="1"/>
    <col min="9" max="11" width="11.36328125" hidden="1" customWidth="1"/>
    <col min="12" max="13" width="10.90625" customWidth="1"/>
    <col min="14" max="14" width="12.1796875" bestFit="1" customWidth="1"/>
    <col min="15" max="15" width="2.26953125" customWidth="1"/>
    <col min="16" max="18" width="11.90625" customWidth="1"/>
    <col min="19" max="20" width="0" hidden="1" customWidth="1"/>
  </cols>
  <sheetData>
    <row r="1" spans="1:20" ht="27.5" x14ac:dyDescent="0.55000000000000004">
      <c r="A1" s="611" t="s">
        <v>421</v>
      </c>
      <c r="B1" s="611"/>
      <c r="L1" s="756" t="s">
        <v>76</v>
      </c>
      <c r="M1" s="757"/>
    </row>
    <row r="2" spans="1:20" ht="13" thickBot="1" x14ac:dyDescent="0.3">
      <c r="L2" s="758"/>
      <c r="M2" s="759"/>
    </row>
    <row r="3" spans="1:20" ht="70" x14ac:dyDescent="0.3">
      <c r="A3" s="612" t="s">
        <v>192</v>
      </c>
      <c r="B3" s="646" t="s">
        <v>116</v>
      </c>
      <c r="C3" s="613" t="s">
        <v>114</v>
      </c>
      <c r="D3" s="614"/>
      <c r="E3" s="615" t="s">
        <v>193</v>
      </c>
      <c r="F3" s="616" t="s">
        <v>422</v>
      </c>
      <c r="G3" s="615" t="s">
        <v>194</v>
      </c>
      <c r="H3" s="615" t="s">
        <v>149</v>
      </c>
      <c r="I3" s="637" t="s">
        <v>429</v>
      </c>
      <c r="J3" s="637" t="s">
        <v>430</v>
      </c>
      <c r="K3" s="637" t="s">
        <v>149</v>
      </c>
      <c r="L3" s="615" t="s">
        <v>384</v>
      </c>
      <c r="M3" s="615" t="s">
        <v>385</v>
      </c>
      <c r="N3" s="615" t="s">
        <v>386</v>
      </c>
      <c r="P3" s="637" t="s">
        <v>387</v>
      </c>
      <c r="Q3" s="637" t="s">
        <v>388</v>
      </c>
      <c r="R3" s="637" t="s">
        <v>389</v>
      </c>
      <c r="T3" s="617">
        <v>10340</v>
      </c>
    </row>
    <row r="4" spans="1:20" ht="14" x14ac:dyDescent="0.3">
      <c r="A4" s="618">
        <v>3735401</v>
      </c>
      <c r="B4" s="618" t="str">
        <f>VLOOKUP(C4,'[13]Schools List'!$D:$G,4,FALSE)</f>
        <v>Recoupment Academy</v>
      </c>
      <c r="C4" s="618">
        <v>5401</v>
      </c>
      <c r="D4" s="619" t="s">
        <v>207</v>
      </c>
      <c r="E4" s="620">
        <v>4</v>
      </c>
      <c r="F4" s="621">
        <v>3</v>
      </c>
      <c r="G4" s="620">
        <v>3</v>
      </c>
      <c r="H4" s="618">
        <v>4</v>
      </c>
      <c r="I4" s="620">
        <f>H4</f>
        <v>4</v>
      </c>
      <c r="J4" s="618">
        <f>H4</f>
        <v>4</v>
      </c>
      <c r="K4" s="618">
        <f>(I4*5/12)+(H4*7/12)</f>
        <v>4</v>
      </c>
      <c r="L4" s="622">
        <v>6328.550199754206</v>
      </c>
      <c r="M4" s="622">
        <v>16668.550199754205</v>
      </c>
      <c r="N4" s="623">
        <v>66674.20079901682</v>
      </c>
      <c r="P4" s="624">
        <v>41360</v>
      </c>
      <c r="Q4" s="624">
        <v>18985.650599262619</v>
      </c>
      <c r="R4" s="624">
        <v>6328.550199754206</v>
      </c>
      <c r="S4" s="625">
        <v>0</v>
      </c>
    </row>
    <row r="5" spans="1:20" s="643" customFormat="1" ht="14" x14ac:dyDescent="0.3">
      <c r="A5" s="638">
        <v>3733429</v>
      </c>
      <c r="B5" s="618">
        <f>VLOOKUP(C5,'[13]Schools List'!$D:$G,4,FALSE)</f>
        <v>0</v>
      </c>
      <c r="C5" s="638">
        <v>3429</v>
      </c>
      <c r="D5" s="639" t="s">
        <v>208</v>
      </c>
      <c r="E5" s="640"/>
      <c r="F5" s="640">
        <v>19</v>
      </c>
      <c r="G5" s="640">
        <v>19</v>
      </c>
      <c r="H5" s="638">
        <v>19</v>
      </c>
      <c r="I5" s="640">
        <f t="shared" ref="I5:I22" si="0">H5</f>
        <v>19</v>
      </c>
      <c r="J5" s="638">
        <f t="shared" ref="J5:J22" si="1">H5</f>
        <v>19</v>
      </c>
      <c r="K5" s="638">
        <f>(I5*5/12)+(H5*7/12)</f>
        <v>19</v>
      </c>
      <c r="L5" s="641">
        <v>5744.8847809177823</v>
      </c>
      <c r="M5" s="641">
        <v>16084.884780917782</v>
      </c>
      <c r="N5" s="642">
        <v>305612.81083743786</v>
      </c>
      <c r="P5" s="644">
        <v>196460</v>
      </c>
      <c r="Q5" s="644">
        <v>109152.81083743786</v>
      </c>
      <c r="R5" s="644">
        <v>0</v>
      </c>
      <c r="S5" s="645">
        <v>0</v>
      </c>
    </row>
    <row r="6" spans="1:20" ht="14" x14ac:dyDescent="0.3">
      <c r="A6" s="627">
        <v>3732048</v>
      </c>
      <c r="B6" s="618" t="str">
        <f>VLOOKUP(C6,'[13]Schools List'!$D:$G,4,FALSE)</f>
        <v>Recoupment Academy</v>
      </c>
      <c r="C6" s="618">
        <v>2048</v>
      </c>
      <c r="D6" s="628" t="s">
        <v>281</v>
      </c>
      <c r="E6" s="620">
        <v>0</v>
      </c>
      <c r="F6" s="621">
        <v>0</v>
      </c>
      <c r="G6" s="620">
        <v>0</v>
      </c>
      <c r="H6" s="618">
        <v>10</v>
      </c>
      <c r="I6" s="620">
        <f t="shared" si="0"/>
        <v>10</v>
      </c>
      <c r="J6" s="618">
        <f t="shared" si="1"/>
        <v>10</v>
      </c>
      <c r="K6" s="618">
        <f>(I6*5/12)+(H6*7/12)</f>
        <v>10</v>
      </c>
      <c r="L6" s="622">
        <v>5727.4948528519362</v>
      </c>
      <c r="M6" s="622">
        <v>16067.494852851936</v>
      </c>
      <c r="N6" s="623">
        <v>160674.94852851937</v>
      </c>
      <c r="P6" s="624">
        <v>103400</v>
      </c>
      <c r="Q6" s="624">
        <v>0</v>
      </c>
      <c r="R6" s="624">
        <v>57274.948528519366</v>
      </c>
      <c r="S6" s="625">
        <v>0</v>
      </c>
    </row>
    <row r="7" spans="1:20" ht="14" x14ac:dyDescent="0.3">
      <c r="A7" s="620">
        <v>3732274</v>
      </c>
      <c r="B7" s="618" t="str">
        <f>VLOOKUP(C7,'[13]Schools List'!$D:$G,4,FALSE)</f>
        <v>Recoupment Academy</v>
      </c>
      <c r="C7" s="618">
        <v>2274</v>
      </c>
      <c r="D7" s="626" t="s">
        <v>390</v>
      </c>
      <c r="E7" s="620">
        <v>8</v>
      </c>
      <c r="F7" s="621">
        <v>7</v>
      </c>
      <c r="G7" s="620">
        <v>7</v>
      </c>
      <c r="H7" s="618">
        <v>8</v>
      </c>
      <c r="I7" s="620">
        <f t="shared" si="0"/>
        <v>8</v>
      </c>
      <c r="J7" s="618">
        <f t="shared" si="1"/>
        <v>8</v>
      </c>
      <c r="K7" s="618">
        <f t="shared" ref="K7:K22" si="2">(I7*5/12)+(H7*7/12)</f>
        <v>8</v>
      </c>
      <c r="L7" s="622">
        <v>5219.6804139589467</v>
      </c>
      <c r="M7" s="622">
        <v>15559.680413958948</v>
      </c>
      <c r="N7" s="623">
        <v>124477.44331167158</v>
      </c>
      <c r="P7" s="624">
        <v>82720</v>
      </c>
      <c r="Q7" s="624">
        <v>36537.76289771263</v>
      </c>
      <c r="R7" s="624">
        <v>5219.6804139589467</v>
      </c>
      <c r="S7" s="625">
        <v>0</v>
      </c>
    </row>
    <row r="8" spans="1:20" ht="14" x14ac:dyDescent="0.3">
      <c r="A8" s="618">
        <v>3734276</v>
      </c>
      <c r="B8" s="618" t="str">
        <f>VLOOKUP(C8,'[13]Schools List'!$D:$G,4,FALSE)</f>
        <v>Recoupment Academy</v>
      </c>
      <c r="C8" s="618">
        <v>4276</v>
      </c>
      <c r="D8" s="626" t="s">
        <v>182</v>
      </c>
      <c r="E8" s="620">
        <v>15</v>
      </c>
      <c r="F8" s="621">
        <v>15</v>
      </c>
      <c r="G8" s="620">
        <v>15</v>
      </c>
      <c r="H8" s="618">
        <v>15</v>
      </c>
      <c r="I8" s="620">
        <f t="shared" si="0"/>
        <v>15</v>
      </c>
      <c r="J8" s="618">
        <f t="shared" si="1"/>
        <v>15</v>
      </c>
      <c r="K8" s="618">
        <f t="shared" si="2"/>
        <v>15</v>
      </c>
      <c r="L8" s="622">
        <v>6378.7193356909575</v>
      </c>
      <c r="M8" s="622">
        <v>16718.719335690956</v>
      </c>
      <c r="N8" s="623">
        <v>250780.79003536433</v>
      </c>
      <c r="P8" s="624">
        <v>155100</v>
      </c>
      <c r="Q8" s="624">
        <v>95680.790035364364</v>
      </c>
      <c r="R8" s="624">
        <v>0</v>
      </c>
      <c r="S8" s="625">
        <v>0</v>
      </c>
    </row>
    <row r="9" spans="1:20" ht="14" x14ac:dyDescent="0.3">
      <c r="A9" s="618">
        <v>3732323</v>
      </c>
      <c r="B9" s="618" t="str">
        <f>VLOOKUP(C9,'[13]Schools List'!$D:$G,4,FALSE)</f>
        <v>Recoupment Academy</v>
      </c>
      <c r="C9" s="618">
        <v>2323</v>
      </c>
      <c r="D9" s="626" t="s">
        <v>87</v>
      </c>
      <c r="E9" s="620">
        <v>10</v>
      </c>
      <c r="F9" s="621">
        <v>9</v>
      </c>
      <c r="G9" s="620">
        <v>9</v>
      </c>
      <c r="H9" s="618">
        <v>10</v>
      </c>
      <c r="I9" s="620">
        <f t="shared" si="0"/>
        <v>10</v>
      </c>
      <c r="J9" s="618">
        <f t="shared" si="1"/>
        <v>10</v>
      </c>
      <c r="K9" s="618">
        <f t="shared" si="2"/>
        <v>10</v>
      </c>
      <c r="L9" s="622">
        <v>4938.0251909337394</v>
      </c>
      <c r="M9" s="622">
        <v>15278.025190933738</v>
      </c>
      <c r="N9" s="623">
        <v>152780.25190933738</v>
      </c>
      <c r="P9" s="624">
        <v>103400</v>
      </c>
      <c r="Q9" s="624">
        <v>44442.226718403654</v>
      </c>
      <c r="R9" s="624">
        <v>4938.0251909337394</v>
      </c>
      <c r="S9" s="625">
        <v>0</v>
      </c>
    </row>
    <row r="10" spans="1:20" ht="14" x14ac:dyDescent="0.3">
      <c r="A10" s="627">
        <v>3734017</v>
      </c>
      <c r="B10" s="618" t="str">
        <f>VLOOKUP(C10,'[13]Schools List'!$D:$G,4,FALSE)</f>
        <v>Recoupment Academy</v>
      </c>
      <c r="C10" s="618">
        <v>4017</v>
      </c>
      <c r="D10" s="626" t="s">
        <v>333</v>
      </c>
      <c r="E10" s="620">
        <v>12</v>
      </c>
      <c r="F10" s="621">
        <v>7</v>
      </c>
      <c r="G10" s="620">
        <v>7</v>
      </c>
      <c r="H10" s="618">
        <v>12</v>
      </c>
      <c r="I10" s="620">
        <f t="shared" si="0"/>
        <v>12</v>
      </c>
      <c r="J10" s="618">
        <f t="shared" si="1"/>
        <v>12</v>
      </c>
      <c r="K10" s="618">
        <f t="shared" si="2"/>
        <v>12</v>
      </c>
      <c r="L10" s="622">
        <v>6306.9793073863739</v>
      </c>
      <c r="M10" s="622">
        <v>16646.979307386373</v>
      </c>
      <c r="N10" s="623">
        <v>199763.75168863649</v>
      </c>
      <c r="P10" s="624">
        <v>124080</v>
      </c>
      <c r="Q10" s="624">
        <v>44148.855151704614</v>
      </c>
      <c r="R10" s="624">
        <v>31534.896536931868</v>
      </c>
      <c r="S10" s="625">
        <v>0</v>
      </c>
    </row>
    <row r="11" spans="1:20" ht="14" x14ac:dyDescent="0.3">
      <c r="A11" s="618">
        <v>3734007</v>
      </c>
      <c r="B11" s="618" t="str">
        <f>VLOOKUP(C11,'[13]Schools List'!$D:$G,4,FALSE)</f>
        <v>Recoupment Academy</v>
      </c>
      <c r="C11" s="618">
        <v>4007</v>
      </c>
      <c r="D11" s="626" t="s">
        <v>209</v>
      </c>
      <c r="E11" s="620">
        <v>20</v>
      </c>
      <c r="F11" s="621">
        <v>19</v>
      </c>
      <c r="G11" s="620">
        <v>19</v>
      </c>
      <c r="H11" s="618">
        <v>20</v>
      </c>
      <c r="I11" s="620">
        <f t="shared" si="0"/>
        <v>20</v>
      </c>
      <c r="J11" s="618">
        <f t="shared" si="1"/>
        <v>20</v>
      </c>
      <c r="K11" s="618">
        <f t="shared" si="2"/>
        <v>20</v>
      </c>
      <c r="L11" s="622">
        <v>6008.6960671997722</v>
      </c>
      <c r="M11" s="622">
        <v>16348.696067199773</v>
      </c>
      <c r="N11" s="623">
        <v>326973.92134399549</v>
      </c>
      <c r="P11" s="624">
        <v>206800</v>
      </c>
      <c r="Q11" s="624">
        <v>114165.22527679567</v>
      </c>
      <c r="R11" s="624">
        <v>6008.6960671997722</v>
      </c>
      <c r="S11" s="625">
        <v>0</v>
      </c>
    </row>
    <row r="12" spans="1:20" ht="14" x14ac:dyDescent="0.3">
      <c r="A12" s="618">
        <v>3732010</v>
      </c>
      <c r="B12" s="618" t="str">
        <f>VLOOKUP(C12,'[13]Schools List'!$D:$G,4,FALSE)</f>
        <v>Recoupment Academy</v>
      </c>
      <c r="C12" s="618">
        <v>2010</v>
      </c>
      <c r="D12" s="626" t="s">
        <v>164</v>
      </c>
      <c r="E12" s="620">
        <v>18</v>
      </c>
      <c r="F12" s="621">
        <v>21</v>
      </c>
      <c r="G12" s="620">
        <v>21</v>
      </c>
      <c r="H12" s="618">
        <v>21</v>
      </c>
      <c r="I12" s="620">
        <f t="shared" si="0"/>
        <v>21</v>
      </c>
      <c r="J12" s="618">
        <f t="shared" si="1"/>
        <v>21</v>
      </c>
      <c r="K12" s="618">
        <f t="shared" si="2"/>
        <v>21</v>
      </c>
      <c r="L12" s="622">
        <v>5684.006990384376</v>
      </c>
      <c r="M12" s="622">
        <v>16024.006990384376</v>
      </c>
      <c r="N12" s="623">
        <v>336504.14679807192</v>
      </c>
      <c r="P12" s="624">
        <v>217140</v>
      </c>
      <c r="Q12" s="624">
        <v>119364.14679807189</v>
      </c>
      <c r="R12" s="624">
        <v>0</v>
      </c>
      <c r="S12" s="625">
        <v>0</v>
      </c>
    </row>
    <row r="13" spans="1:20" ht="14" x14ac:dyDescent="0.3">
      <c r="A13" s="627">
        <v>3732341</v>
      </c>
      <c r="B13" s="618" t="str">
        <f>VLOOKUP(C13,'[13]Schools List'!$D:$G,4,FALSE)</f>
        <v>Recoupment Academy</v>
      </c>
      <c r="C13" s="618">
        <v>2341</v>
      </c>
      <c r="D13" s="626" t="s">
        <v>291</v>
      </c>
      <c r="E13" s="620">
        <v>12</v>
      </c>
      <c r="F13" s="621">
        <v>2</v>
      </c>
      <c r="G13" s="620">
        <v>2</v>
      </c>
      <c r="H13" s="618">
        <v>12</v>
      </c>
      <c r="I13" s="620">
        <f t="shared" si="0"/>
        <v>12</v>
      </c>
      <c r="J13" s="618">
        <f t="shared" si="1"/>
        <v>12</v>
      </c>
      <c r="K13" s="618">
        <f t="shared" si="2"/>
        <v>12</v>
      </c>
      <c r="L13" s="622">
        <v>4654.4107512833198</v>
      </c>
      <c r="M13" s="622">
        <v>14994.41075128332</v>
      </c>
      <c r="N13" s="623">
        <v>179932.92901539983</v>
      </c>
      <c r="P13" s="624">
        <v>124080</v>
      </c>
      <c r="Q13" s="624">
        <v>9308.8215025666395</v>
      </c>
      <c r="R13" s="624">
        <v>46544.107512833201</v>
      </c>
      <c r="S13" s="625">
        <v>0</v>
      </c>
    </row>
    <row r="14" spans="1:20" ht="14" x14ac:dyDescent="0.3">
      <c r="A14" s="620">
        <v>3732337</v>
      </c>
      <c r="B14" s="618" t="str">
        <f>VLOOKUP(C14,'[13]Schools List'!$D:$G,4,FALSE)</f>
        <v>Recoupment Academy</v>
      </c>
      <c r="C14" s="618">
        <v>2337</v>
      </c>
      <c r="D14" s="626" t="s">
        <v>423</v>
      </c>
      <c r="E14" s="620">
        <v>12</v>
      </c>
      <c r="F14" s="621">
        <v>11</v>
      </c>
      <c r="G14" s="620">
        <v>11</v>
      </c>
      <c r="H14" s="618">
        <v>12</v>
      </c>
      <c r="I14" s="620">
        <f t="shared" si="0"/>
        <v>12</v>
      </c>
      <c r="J14" s="618">
        <f t="shared" si="1"/>
        <v>12</v>
      </c>
      <c r="K14" s="618">
        <f t="shared" si="2"/>
        <v>12</v>
      </c>
      <c r="L14" s="622">
        <v>5453.5638118607803</v>
      </c>
      <c r="M14" s="622">
        <v>15793.56381186078</v>
      </c>
      <c r="N14" s="623">
        <v>189522.76574232936</v>
      </c>
      <c r="P14" s="624">
        <v>124080</v>
      </c>
      <c r="Q14" s="624">
        <v>59989.201930468582</v>
      </c>
      <c r="R14" s="624">
        <v>5453.5638118607803</v>
      </c>
      <c r="S14" s="625">
        <v>0</v>
      </c>
    </row>
    <row r="15" spans="1:20" ht="14" x14ac:dyDescent="0.3">
      <c r="A15" s="618">
        <v>3734230</v>
      </c>
      <c r="B15" s="618" t="str">
        <f>VLOOKUP(C15,'[13]Schools List'!$D:$G,4,FALSE)</f>
        <v>Recoupment Academy</v>
      </c>
      <c r="C15" s="618">
        <v>4230</v>
      </c>
      <c r="D15" s="626" t="s">
        <v>71</v>
      </c>
      <c r="E15" s="620">
        <v>30</v>
      </c>
      <c r="F15" s="621">
        <v>36</v>
      </c>
      <c r="G15" s="620">
        <v>36</v>
      </c>
      <c r="H15" s="618">
        <v>36</v>
      </c>
      <c r="I15" s="620">
        <f t="shared" si="0"/>
        <v>36</v>
      </c>
      <c r="J15" s="618">
        <f t="shared" si="1"/>
        <v>36</v>
      </c>
      <c r="K15" s="618">
        <f t="shared" si="2"/>
        <v>36</v>
      </c>
      <c r="L15" s="622">
        <v>6671.2654751188957</v>
      </c>
      <c r="M15" s="622">
        <v>17011.265475118897</v>
      </c>
      <c r="N15" s="623">
        <v>612405.55710428022</v>
      </c>
      <c r="P15" s="624">
        <v>372240</v>
      </c>
      <c r="Q15" s="624">
        <v>240165.55710428025</v>
      </c>
      <c r="R15" s="624">
        <v>0</v>
      </c>
      <c r="S15" s="625">
        <v>0</v>
      </c>
    </row>
    <row r="16" spans="1:20" ht="14" x14ac:dyDescent="0.3">
      <c r="A16" s="618">
        <v>3732359</v>
      </c>
      <c r="B16" s="618" t="str">
        <f>VLOOKUP(C16,'[13]Schools List'!$D:$G,4,FALSE)</f>
        <v>Recoupment Academy</v>
      </c>
      <c r="C16" s="618">
        <v>2359</v>
      </c>
      <c r="D16" s="626" t="s">
        <v>391</v>
      </c>
      <c r="E16" s="620">
        <v>10</v>
      </c>
      <c r="F16" s="621">
        <v>8</v>
      </c>
      <c r="G16" s="620">
        <v>8</v>
      </c>
      <c r="H16" s="618">
        <v>10</v>
      </c>
      <c r="I16" s="620">
        <f t="shared" si="0"/>
        <v>10</v>
      </c>
      <c r="J16" s="618">
        <f t="shared" si="1"/>
        <v>10</v>
      </c>
      <c r="K16" s="618">
        <f t="shared" si="2"/>
        <v>10</v>
      </c>
      <c r="L16" s="622">
        <v>5260.4380703329116</v>
      </c>
      <c r="M16" s="622">
        <v>15600.438070332912</v>
      </c>
      <c r="N16" s="623">
        <v>156004.38070332911</v>
      </c>
      <c r="P16" s="624">
        <v>103400</v>
      </c>
      <c r="Q16" s="624">
        <v>42083.504562663293</v>
      </c>
      <c r="R16" s="624">
        <v>10520.876140665823</v>
      </c>
      <c r="S16" s="625">
        <v>0</v>
      </c>
    </row>
    <row r="17" spans="1:19" s="643" customFormat="1" ht="14" x14ac:dyDescent="0.3">
      <c r="A17" s="638">
        <v>3732087</v>
      </c>
      <c r="B17" s="638">
        <f>VLOOKUP(C17,'[13]Schools List'!$D:$G,4,FALSE)</f>
        <v>0</v>
      </c>
      <c r="C17" s="638">
        <v>2087</v>
      </c>
      <c r="D17" s="639" t="s">
        <v>210</v>
      </c>
      <c r="E17" s="640"/>
      <c r="F17" s="640">
        <v>13</v>
      </c>
      <c r="G17" s="640">
        <v>13</v>
      </c>
      <c r="H17" s="638">
        <v>15</v>
      </c>
      <c r="I17" s="640">
        <f t="shared" si="0"/>
        <v>15</v>
      </c>
      <c r="J17" s="638">
        <f t="shared" si="1"/>
        <v>15</v>
      </c>
      <c r="K17" s="638">
        <f t="shared" si="2"/>
        <v>15</v>
      </c>
      <c r="L17" s="641">
        <v>4460.9230769230771</v>
      </c>
      <c r="M17" s="641">
        <v>14800.923076923078</v>
      </c>
      <c r="N17" s="642">
        <v>222013.84615384619</v>
      </c>
      <c r="P17" s="644">
        <v>155100</v>
      </c>
      <c r="Q17" s="644">
        <v>57992</v>
      </c>
      <c r="R17" s="644">
        <v>8921.8461538461543</v>
      </c>
      <c r="S17" s="645">
        <v>0</v>
      </c>
    </row>
    <row r="18" spans="1:19" ht="14" x14ac:dyDescent="0.3">
      <c r="A18" s="618">
        <v>3732309</v>
      </c>
      <c r="B18" s="618" t="str">
        <f>VLOOKUP(C18,'[13]Schools List'!$D:$G,4,FALSE)</f>
        <v>Recoupment Academy</v>
      </c>
      <c r="C18" s="618">
        <v>2309</v>
      </c>
      <c r="D18" s="626" t="s">
        <v>211</v>
      </c>
      <c r="E18" s="620">
        <v>13</v>
      </c>
      <c r="F18" s="621">
        <v>10</v>
      </c>
      <c r="G18" s="620">
        <v>10</v>
      </c>
      <c r="H18" s="629">
        <v>13</v>
      </c>
      <c r="I18" s="620">
        <f t="shared" si="0"/>
        <v>13</v>
      </c>
      <c r="J18" s="618">
        <f t="shared" si="1"/>
        <v>13</v>
      </c>
      <c r="K18" s="618">
        <f t="shared" si="2"/>
        <v>13</v>
      </c>
      <c r="L18" s="622">
        <v>4557.1466780451592</v>
      </c>
      <c r="M18" s="622">
        <v>14897.146678045159</v>
      </c>
      <c r="N18" s="623">
        <v>193662.90681458707</v>
      </c>
      <c r="P18" s="624">
        <v>134420</v>
      </c>
      <c r="Q18" s="624">
        <v>45571.466780451592</v>
      </c>
      <c r="R18" s="624">
        <v>13671.440034135478</v>
      </c>
      <c r="S18" s="625">
        <v>0</v>
      </c>
    </row>
    <row r="19" spans="1:19" ht="14" x14ac:dyDescent="0.3">
      <c r="A19" s="618">
        <v>3733414</v>
      </c>
      <c r="B19" s="618" t="str">
        <f>VLOOKUP(C19,'[13]Schools List'!$D:$G,4,FALSE)</f>
        <v>Recoupment Academy</v>
      </c>
      <c r="C19" s="618">
        <v>3414</v>
      </c>
      <c r="D19" s="626" t="s">
        <v>212</v>
      </c>
      <c r="E19" s="620">
        <v>18</v>
      </c>
      <c r="F19" s="621">
        <v>15</v>
      </c>
      <c r="G19" s="620">
        <v>15</v>
      </c>
      <c r="H19" s="618">
        <v>18</v>
      </c>
      <c r="I19" s="620">
        <f t="shared" si="0"/>
        <v>18</v>
      </c>
      <c r="J19" s="618">
        <f t="shared" si="1"/>
        <v>18</v>
      </c>
      <c r="K19" s="618">
        <f t="shared" si="2"/>
        <v>18</v>
      </c>
      <c r="L19" s="622">
        <v>4588.8282100485521</v>
      </c>
      <c r="M19" s="622">
        <v>14928.828210048552</v>
      </c>
      <c r="N19" s="623">
        <v>268718.90778087394</v>
      </c>
      <c r="P19" s="624">
        <v>186120</v>
      </c>
      <c r="Q19" s="624">
        <v>68832.423150728282</v>
      </c>
      <c r="R19" s="624">
        <v>13766.484630145656</v>
      </c>
      <c r="S19" s="625">
        <v>0</v>
      </c>
    </row>
    <row r="20" spans="1:19" s="643" customFormat="1" ht="14" x14ac:dyDescent="0.3">
      <c r="A20" s="638">
        <v>3732350</v>
      </c>
      <c r="B20" s="638">
        <f>VLOOKUP(C20,'[13]Schools List'!$D:$G,4,FALSE)</f>
        <v>0</v>
      </c>
      <c r="C20" s="638">
        <v>2350</v>
      </c>
      <c r="D20" s="639" t="s">
        <v>37</v>
      </c>
      <c r="E20" s="640"/>
      <c r="F20" s="640">
        <v>18</v>
      </c>
      <c r="G20" s="640">
        <v>18</v>
      </c>
      <c r="H20" s="638">
        <v>24</v>
      </c>
      <c r="I20" s="640">
        <f t="shared" si="0"/>
        <v>24</v>
      </c>
      <c r="J20" s="638">
        <f t="shared" si="1"/>
        <v>24</v>
      </c>
      <c r="K20" s="638">
        <f t="shared" si="2"/>
        <v>24</v>
      </c>
      <c r="L20" s="641">
        <v>5214.6486946564128</v>
      </c>
      <c r="M20" s="641">
        <v>15554.648694656413</v>
      </c>
      <c r="N20" s="642">
        <v>373311.56867175392</v>
      </c>
      <c r="P20" s="644">
        <v>248160</v>
      </c>
      <c r="Q20" s="644">
        <v>93863.676503815426</v>
      </c>
      <c r="R20" s="644">
        <v>31287.892167938477</v>
      </c>
      <c r="S20" s="645">
        <v>0</v>
      </c>
    </row>
    <row r="21" spans="1:19" ht="14" x14ac:dyDescent="0.3">
      <c r="A21" s="618">
        <v>3732311</v>
      </c>
      <c r="B21" s="618" t="str">
        <f>VLOOKUP(C21,'[13]Schools List'!$D:$G,4,FALSE)</f>
        <v>Recoupment Academy</v>
      </c>
      <c r="C21" s="618">
        <v>2311</v>
      </c>
      <c r="D21" s="626" t="s">
        <v>213</v>
      </c>
      <c r="E21" s="620">
        <v>22</v>
      </c>
      <c r="F21" s="621">
        <v>18</v>
      </c>
      <c r="G21" s="620">
        <v>18</v>
      </c>
      <c r="H21" s="618">
        <v>22</v>
      </c>
      <c r="I21" s="620">
        <f t="shared" si="0"/>
        <v>22</v>
      </c>
      <c r="J21" s="618">
        <f t="shared" si="1"/>
        <v>22</v>
      </c>
      <c r="K21" s="618">
        <f t="shared" si="2"/>
        <v>22</v>
      </c>
      <c r="L21" s="622">
        <v>5338.5190990934789</v>
      </c>
      <c r="M21" s="622">
        <v>15678.519099093479</v>
      </c>
      <c r="N21" s="623">
        <v>344927.42018005654</v>
      </c>
      <c r="P21" s="624">
        <v>227480</v>
      </c>
      <c r="Q21" s="624">
        <v>96093.34378368262</v>
      </c>
      <c r="R21" s="624">
        <v>21354.076396373915</v>
      </c>
      <c r="S21" s="625">
        <v>0</v>
      </c>
    </row>
    <row r="22" spans="1:19" ht="14" x14ac:dyDescent="0.3">
      <c r="A22" s="630">
        <v>3732040</v>
      </c>
      <c r="B22" s="618" t="str">
        <f>VLOOKUP(C22,'[13]Schools List'!$D:$G,4,FALSE)</f>
        <v>Recoupment Academy</v>
      </c>
      <c r="C22" s="631">
        <v>2040</v>
      </c>
      <c r="D22" s="626" t="s">
        <v>424</v>
      </c>
      <c r="E22" s="620">
        <v>10</v>
      </c>
      <c r="F22" s="621">
        <v>8</v>
      </c>
      <c r="G22" s="620">
        <v>8</v>
      </c>
      <c r="H22" s="618">
        <v>10</v>
      </c>
      <c r="I22" s="620">
        <f t="shared" si="0"/>
        <v>10</v>
      </c>
      <c r="J22" s="618">
        <f t="shared" si="1"/>
        <v>10</v>
      </c>
      <c r="K22" s="618">
        <f t="shared" si="2"/>
        <v>10</v>
      </c>
      <c r="L22" s="622">
        <v>5712.6410011171338</v>
      </c>
      <c r="M22" s="622">
        <v>16052.641001117134</v>
      </c>
      <c r="N22" s="623">
        <v>160526.41001117133</v>
      </c>
      <c r="P22" s="624">
        <v>103400</v>
      </c>
      <c r="Q22" s="624">
        <v>45701.12800893707</v>
      </c>
      <c r="R22" s="624">
        <v>11425.282002234268</v>
      </c>
      <c r="S22" s="625">
        <v>0</v>
      </c>
    </row>
    <row r="23" spans="1:19" ht="14" x14ac:dyDescent="0.3">
      <c r="A23" s="631"/>
      <c r="B23" s="631"/>
      <c r="C23" s="631"/>
      <c r="D23" s="632" t="s">
        <v>214</v>
      </c>
      <c r="E23" s="633">
        <v>214</v>
      </c>
      <c r="F23" s="634"/>
      <c r="G23" s="633">
        <v>239</v>
      </c>
      <c r="H23" s="633">
        <v>291</v>
      </c>
      <c r="I23" s="633">
        <f>SUM(I4:I22)</f>
        <v>291</v>
      </c>
      <c r="J23" s="633">
        <f>SUM(J4:J22)</f>
        <v>291</v>
      </c>
      <c r="K23" s="633">
        <f>SUM(K4:K22)</f>
        <v>291</v>
      </c>
      <c r="L23" s="633"/>
      <c r="M23" s="635">
        <v>300709.42200755776</v>
      </c>
      <c r="N23" s="635">
        <v>4625268.9574296782</v>
      </c>
      <c r="P23" s="635">
        <v>3008940</v>
      </c>
      <c r="Q23" s="635">
        <v>1342078.5916423472</v>
      </c>
      <c r="R23" s="635">
        <v>274250.3657873316</v>
      </c>
    </row>
    <row r="25" spans="1:19" hidden="1" x14ac:dyDescent="0.25">
      <c r="P25">
        <v>102303.96</v>
      </c>
      <c r="R25" s="636">
        <v>3283190.3657873315</v>
      </c>
    </row>
    <row r="26" spans="1:19" ht="14" hidden="1" x14ac:dyDescent="0.3">
      <c r="L26" t="s">
        <v>240</v>
      </c>
      <c r="N26" s="635">
        <v>900938.22566303797</v>
      </c>
    </row>
    <row r="27" spans="1:19" ht="14" hidden="1" x14ac:dyDescent="0.3">
      <c r="L27" t="s">
        <v>241</v>
      </c>
      <c r="N27" s="635">
        <v>3724330.7317666402</v>
      </c>
    </row>
    <row r="28" spans="1:19" hidden="1" x14ac:dyDescent="0.25"/>
    <row r="29" spans="1:19" ht="14" hidden="1" x14ac:dyDescent="0.3">
      <c r="L29" t="s">
        <v>425</v>
      </c>
      <c r="N29" s="635">
        <v>1927124.6332514284</v>
      </c>
    </row>
    <row r="30" spans="1:19" ht="14" hidden="1" x14ac:dyDescent="0.3">
      <c r="L30" t="s">
        <v>426</v>
      </c>
      <c r="N30" s="635">
        <v>1256834.4692826569</v>
      </c>
    </row>
    <row r="31" spans="1:19" hidden="1" x14ac:dyDescent="0.25"/>
    <row r="32" spans="1:19" hidden="1" x14ac:dyDescent="0.25"/>
    <row r="33" spans="4:5" ht="14" hidden="1" x14ac:dyDescent="0.3">
      <c r="D33" s="626" t="s">
        <v>71</v>
      </c>
      <c r="E33" t="s">
        <v>427</v>
      </c>
    </row>
    <row r="34" spans="4:5" ht="14" hidden="1" x14ac:dyDescent="0.3">
      <c r="D34" s="626" t="s">
        <v>209</v>
      </c>
      <c r="E34" t="s">
        <v>428</v>
      </c>
    </row>
    <row r="35" spans="4:5" hidden="1" x14ac:dyDescent="0.25"/>
  </sheetData>
  <mergeCells count="1">
    <mergeCell ref="L1:M2"/>
  </mergeCells>
  <hyperlinks>
    <hyperlink ref="L1:M2" location="Instructions!C17" tooltip="Link to Instructions" display="Back to Main Menu" xr:uid="{922FDA62-60E8-436F-81B3-9054EA8CD2D1}"/>
  </hyperlinks>
  <pageMargins left="0.7" right="0.7" top="0.75" bottom="0.75" header="0.3" footer="0.3"/>
  <pageSetup paperSize="9"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5">
    <pageSetUpPr autoPageBreaks="0" fitToPage="1"/>
  </sheetPr>
  <dimension ref="A1:M109"/>
  <sheetViews>
    <sheetView showGridLines="0" showRowColHeaders="0" workbookViewId="0">
      <pane ySplit="4" topLeftCell="A5" activePane="bottomLeft" state="frozen"/>
      <selection pane="bottomLeft" activeCell="A5" sqref="A5"/>
    </sheetView>
  </sheetViews>
  <sheetFormatPr defaultColWidth="9.08984375" defaultRowHeight="12.5" outlineLevelRow="1" x14ac:dyDescent="0.25"/>
  <cols>
    <col min="1" max="1" width="3.54296875" style="419" customWidth="1"/>
    <col min="2" max="2" width="6" style="419" customWidth="1"/>
    <col min="3" max="3" width="51.453125" style="419" customWidth="1"/>
    <col min="4" max="4" width="12.54296875" style="419" customWidth="1"/>
    <col min="5" max="5" width="11.6328125" style="419" customWidth="1"/>
    <col min="6" max="6" width="7.6328125" style="421" customWidth="1"/>
    <col min="7" max="8" width="7.6328125" style="419" customWidth="1"/>
    <col min="9" max="16384" width="9.08984375" style="419"/>
  </cols>
  <sheetData>
    <row r="1" spans="1:11" ht="25" x14ac:dyDescent="0.5">
      <c r="B1" s="420" t="s">
        <v>484</v>
      </c>
      <c r="J1" s="756" t="s">
        <v>76</v>
      </c>
      <c r="K1" s="757"/>
    </row>
    <row r="2" spans="1:11" ht="13" thickBot="1" x14ac:dyDescent="0.3">
      <c r="J2" s="758"/>
      <c r="K2" s="759"/>
    </row>
    <row r="6" spans="1:11" x14ac:dyDescent="0.25">
      <c r="B6" s="419" t="s">
        <v>406</v>
      </c>
      <c r="D6" s="419">
        <f>VLOOKUP($C$46,[13]MFG!$C:$Y,3,FALSE)</f>
        <v>557</v>
      </c>
      <c r="G6" s="422"/>
      <c r="H6" s="423">
        <f>D6-G6</f>
        <v>557</v>
      </c>
    </row>
    <row r="7" spans="1:11" x14ac:dyDescent="0.25">
      <c r="B7" s="419" t="s">
        <v>485</v>
      </c>
      <c r="D7" s="419">
        <f>VLOOKUP($C$46,[13]MFG!$C:$Y,4,FALSE)</f>
        <v>546</v>
      </c>
      <c r="G7" s="423"/>
      <c r="H7" s="423">
        <f>D7-G7</f>
        <v>546</v>
      </c>
    </row>
    <row r="8" spans="1:11" ht="13" thickBot="1" x14ac:dyDescent="0.3">
      <c r="B8" s="419" t="s">
        <v>119</v>
      </c>
      <c r="D8" s="424">
        <f>D7-D6</f>
        <v>-11</v>
      </c>
    </row>
    <row r="9" spans="1:11" ht="13" thickTop="1" x14ac:dyDescent="0.25"/>
    <row r="10" spans="1:11" ht="13" x14ac:dyDescent="0.3">
      <c r="A10" s="419">
        <v>1</v>
      </c>
      <c r="B10" s="425" t="s">
        <v>486</v>
      </c>
      <c r="D10" s="426" t="s">
        <v>120</v>
      </c>
      <c r="E10" s="426" t="s">
        <v>120</v>
      </c>
      <c r="G10" s="764" t="s">
        <v>121</v>
      </c>
      <c r="H10" s="765"/>
    </row>
    <row r="11" spans="1:11" ht="13" x14ac:dyDescent="0.3">
      <c r="B11" s="419" t="s">
        <v>487</v>
      </c>
      <c r="E11" s="419">
        <f>VLOOKUP($C$46,[13]MFG!$C:$Y,6,FALSE)</f>
        <v>2419994.3863481223</v>
      </c>
      <c r="G11" s="427">
        <f>E11/D6</f>
        <v>4344.693691827868</v>
      </c>
      <c r="H11" s="428"/>
    </row>
    <row r="12" spans="1:11" x14ac:dyDescent="0.25">
      <c r="B12" s="419" t="s">
        <v>122</v>
      </c>
      <c r="C12" s="419" t="s">
        <v>491</v>
      </c>
      <c r="D12" s="419">
        <f>-VLOOKUP($C$46,[13]MFG!$C:$Y,7,FALSE)</f>
        <v>-39936</v>
      </c>
      <c r="G12" s="429"/>
      <c r="H12" s="428"/>
    </row>
    <row r="13" spans="1:11" x14ac:dyDescent="0.25">
      <c r="C13" s="419" t="s">
        <v>488</v>
      </c>
      <c r="D13" s="419">
        <f>-VLOOKUP($C$46,[13]MFG!$C:$Y,8,FALSE)</f>
        <v>-128000</v>
      </c>
      <c r="G13" s="429"/>
      <c r="H13" s="428"/>
    </row>
    <row r="14" spans="1:11" x14ac:dyDescent="0.25">
      <c r="B14" s="419" t="s">
        <v>490</v>
      </c>
      <c r="C14" s="419" t="s">
        <v>489</v>
      </c>
      <c r="D14" s="419">
        <f>-VLOOKUP($C$46,[13]MFG!$C:$Y,9,FALSE)</f>
        <v>64764</v>
      </c>
      <c r="E14" s="430">
        <f>SUM(D12:D14)</f>
        <v>-103172</v>
      </c>
      <c r="F14" s="431" t="s">
        <v>124</v>
      </c>
      <c r="G14" s="429"/>
      <c r="H14" s="428"/>
    </row>
    <row r="15" spans="1:11" ht="13" x14ac:dyDescent="0.3">
      <c r="B15" s="432" t="s">
        <v>407</v>
      </c>
      <c r="E15" s="419">
        <f>E11+E14</f>
        <v>2316822.3863481223</v>
      </c>
      <c r="F15" s="421" t="s">
        <v>125</v>
      </c>
      <c r="G15" s="433">
        <f>E15/D6</f>
        <v>4159.4656846465386</v>
      </c>
      <c r="H15" s="428"/>
      <c r="I15" s="419" t="s">
        <v>493</v>
      </c>
    </row>
    <row r="16" spans="1:11" x14ac:dyDescent="0.25">
      <c r="G16" s="429"/>
      <c r="H16" s="428"/>
    </row>
    <row r="17" spans="1:8" x14ac:dyDescent="0.25">
      <c r="G17" s="429"/>
      <c r="H17" s="428"/>
    </row>
    <row r="18" spans="1:8" ht="14" x14ac:dyDescent="0.3">
      <c r="A18" s="419">
        <v>2</v>
      </c>
      <c r="B18" s="425" t="s">
        <v>492</v>
      </c>
      <c r="G18" s="429"/>
      <c r="H18" s="428"/>
    </row>
    <row r="19" spans="1:8" ht="13" x14ac:dyDescent="0.3">
      <c r="B19" s="419" t="s">
        <v>279</v>
      </c>
      <c r="E19" s="419">
        <f>VLOOKUP($C$46,'[13]Budget Share'!$D:$Z,23,FALSE)-VLOOKUP($C$46,'[13]Budget Share'!D:Z,18,FALSE)-VLOOKUP($C$46,'[13]Budget Share'!D:Z,16,FALSE)</f>
        <v>2445066.0000000009</v>
      </c>
      <c r="G19" s="434">
        <f>E19/D7</f>
        <v>4478.1428571428587</v>
      </c>
      <c r="H19" s="428"/>
    </row>
    <row r="20" spans="1:8" x14ac:dyDescent="0.25">
      <c r="B20" s="419" t="s">
        <v>122</v>
      </c>
      <c r="C20" s="419" t="s">
        <v>491</v>
      </c>
      <c r="D20" s="419">
        <f>-VLOOKUP($C$46,'[13]Budget Share'!$D:$Z,22,FALSE)-VLOOKUP($C$46,'[13]Budget Share'!$D:$Z,21,FALSE)-VLOOKUP($C$46,'[13]Budget Share'!$D:$Z,19,FALSE)</f>
        <v>-39936</v>
      </c>
      <c r="G20" s="429"/>
      <c r="H20" s="428"/>
    </row>
    <row r="21" spans="1:8" x14ac:dyDescent="0.25">
      <c r="C21" s="419" t="s">
        <v>53</v>
      </c>
      <c r="D21" s="419">
        <f>-VLOOKUP($C$46,'[13]Budget Share'!$D:$Z,11,FALSE)</f>
        <v>-128000</v>
      </c>
      <c r="G21" s="429"/>
      <c r="H21" s="428"/>
    </row>
    <row r="22" spans="1:8" x14ac:dyDescent="0.25">
      <c r="C22" s="419" t="s">
        <v>123</v>
      </c>
      <c r="E22" s="430">
        <f>SUM(D20:D22)</f>
        <v>-167936</v>
      </c>
      <c r="F22" s="431" t="s">
        <v>124</v>
      </c>
      <c r="G22" s="429"/>
      <c r="H22" s="428"/>
    </row>
    <row r="23" spans="1:8" ht="13.5" thickBot="1" x14ac:dyDescent="0.35">
      <c r="B23" s="432" t="s">
        <v>494</v>
      </c>
      <c r="E23" s="567">
        <f>E19+E22</f>
        <v>2277130.0000000009</v>
      </c>
      <c r="F23" s="568" t="s">
        <v>126</v>
      </c>
      <c r="G23" s="569">
        <f>E23/D7</f>
        <v>4170.5677655677673</v>
      </c>
      <c r="H23" s="752">
        <f>(G23-G15)/G15</f>
        <v>2.6691122761773886E-3</v>
      </c>
    </row>
    <row r="24" spans="1:8" ht="13.5" thickTop="1" x14ac:dyDescent="0.3">
      <c r="G24" s="434"/>
      <c r="H24" s="428"/>
    </row>
    <row r="25" spans="1:8" ht="13" x14ac:dyDescent="0.3">
      <c r="A25" s="419">
        <v>3</v>
      </c>
      <c r="B25" s="425" t="s">
        <v>483</v>
      </c>
      <c r="G25" s="434"/>
      <c r="H25" s="428"/>
    </row>
    <row r="26" spans="1:8" ht="13" x14ac:dyDescent="0.3">
      <c r="B26" s="419" t="s">
        <v>127</v>
      </c>
      <c r="E26" s="435">
        <f>H23</f>
        <v>2.6691122761773886E-3</v>
      </c>
      <c r="G26" s="434">
        <f>G23-G15</f>
        <v>11.102080921228662</v>
      </c>
      <c r="H26" s="428"/>
    </row>
    <row r="27" spans="1:8" x14ac:dyDescent="0.25">
      <c r="B27" s="419" t="s">
        <v>408</v>
      </c>
      <c r="E27" s="435">
        <f>VLOOKUP(C46,[13]MFG!C:Y,15,FALSE)+VLOOKUP(C46,[13]MFG!C:Z,24,FALSE)</f>
        <v>2.3308877238226115E-3</v>
      </c>
      <c r="G27" s="429">
        <f>G15*E27</f>
        <v>9.6952475020040314</v>
      </c>
      <c r="H27" s="428"/>
    </row>
    <row r="28" spans="1:8" ht="13" thickBot="1" x14ac:dyDescent="0.3">
      <c r="E28" s="436">
        <f>SUM(E26:E27)</f>
        <v>5.0000000000000001E-3</v>
      </c>
      <c r="G28" s="437">
        <f>SUM(G26:G27)</f>
        <v>20.797328423232692</v>
      </c>
      <c r="H28" s="428"/>
    </row>
    <row r="29" spans="1:8" ht="13" thickTop="1" x14ac:dyDescent="0.25">
      <c r="E29" s="438"/>
      <c r="G29" s="429"/>
      <c r="H29" s="428"/>
    </row>
    <row r="30" spans="1:8" ht="13" x14ac:dyDescent="0.3">
      <c r="B30" s="419" t="s">
        <v>495</v>
      </c>
      <c r="E30" s="439">
        <f>G15</f>
        <v>4159.4656846465386</v>
      </c>
      <c r="G30" s="434">
        <f>E30*E31</f>
        <v>9.6952475020040314</v>
      </c>
      <c r="H30" s="428"/>
    </row>
    <row r="31" spans="1:8" x14ac:dyDescent="0.25">
      <c r="B31" s="419" t="s">
        <v>128</v>
      </c>
      <c r="E31" s="435">
        <f>E27</f>
        <v>2.3308877238226115E-3</v>
      </c>
      <c r="F31" s="421" t="s">
        <v>129</v>
      </c>
      <c r="G31" s="429"/>
      <c r="H31" s="428"/>
    </row>
    <row r="32" spans="1:8" x14ac:dyDescent="0.25">
      <c r="B32" s="419" t="s">
        <v>496</v>
      </c>
      <c r="E32" s="439">
        <f>D7</f>
        <v>546</v>
      </c>
      <c r="F32" s="421" t="s">
        <v>129</v>
      </c>
      <c r="G32" s="429"/>
      <c r="H32" s="440"/>
    </row>
    <row r="33" spans="1:13" ht="13.5" thickBot="1" x14ac:dyDescent="0.35">
      <c r="B33" s="432" t="s">
        <v>130</v>
      </c>
      <c r="E33" s="570">
        <f>(E30*E31)*E32</f>
        <v>5293.605136094201</v>
      </c>
      <c r="F33" s="441" t="s">
        <v>131</v>
      </c>
      <c r="G33" s="429"/>
      <c r="H33" s="428"/>
    </row>
    <row r="34" spans="1:13" ht="13" thickTop="1" x14ac:dyDescent="0.25">
      <c r="E34" s="571">
        <f>VLOOKUP(C46,[13]MFG!C:R,16,FALSE)+VLOOKUP(C46,[13]MFG!C:Y,23,FALSE)-E33</f>
        <v>0</v>
      </c>
      <c r="G34" s="429"/>
      <c r="H34" s="428"/>
    </row>
    <row r="35" spans="1:13" x14ac:dyDescent="0.25">
      <c r="E35" s="438"/>
      <c r="G35" s="429"/>
      <c r="H35" s="428"/>
    </row>
    <row r="36" spans="1:13" x14ac:dyDescent="0.25">
      <c r="G36" s="429"/>
      <c r="H36" s="428"/>
    </row>
    <row r="37" spans="1:13" ht="13.5" thickBot="1" x14ac:dyDescent="0.35">
      <c r="A37" s="419">
        <v>4</v>
      </c>
      <c r="B37" s="425" t="s">
        <v>497</v>
      </c>
      <c r="E37" s="424">
        <f>E23+E33</f>
        <v>2282423.6051360951</v>
      </c>
      <c r="F37" s="421" t="s">
        <v>132</v>
      </c>
      <c r="G37" s="433">
        <f>E37/D7</f>
        <v>4180.2630130697717</v>
      </c>
      <c r="H37" s="428"/>
    </row>
    <row r="38" spans="1:13" ht="13.5" thickTop="1" x14ac:dyDescent="0.3">
      <c r="B38" s="425"/>
      <c r="G38" s="429"/>
      <c r="H38" s="428"/>
    </row>
    <row r="39" spans="1:13" x14ac:dyDescent="0.25">
      <c r="A39" s="442"/>
      <c r="B39" s="443"/>
      <c r="C39" s="443"/>
      <c r="D39" s="443"/>
      <c r="E39" s="443"/>
      <c r="F39" s="444"/>
      <c r="G39" s="442"/>
      <c r="H39" s="445"/>
    </row>
    <row r="40" spans="1:13" ht="14" x14ac:dyDescent="0.3">
      <c r="A40" s="429">
        <v>5</v>
      </c>
      <c r="B40" s="425" t="s">
        <v>498</v>
      </c>
      <c r="E40" s="419">
        <f>E37-E15</f>
        <v>-34398.781212027185</v>
      </c>
      <c r="F40" s="572">
        <f>E40/E15</f>
        <v>-1.4847396768402287E-2</v>
      </c>
      <c r="G40" s="429">
        <f>G37-G15</f>
        <v>20.797328423233012</v>
      </c>
      <c r="H40" s="446">
        <f>G40/G15</f>
        <v>5.0000000000000764E-3</v>
      </c>
      <c r="M40" s="447"/>
    </row>
    <row r="41" spans="1:13" x14ac:dyDescent="0.25">
      <c r="A41" s="448"/>
      <c r="B41" s="430"/>
      <c r="C41" s="430"/>
      <c r="D41" s="430"/>
      <c r="E41" s="430"/>
      <c r="F41" s="449"/>
      <c r="G41" s="448"/>
      <c r="H41" s="450"/>
    </row>
    <row r="45" spans="1:13" x14ac:dyDescent="0.2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idden="1" outlineLevel="1" x14ac:dyDescent="0.25">
      <c r="C46" s="451">
        <v>2001</v>
      </c>
    </row>
    <row r="47" spans="1:13" hidden="1" outlineLevel="1" x14ac:dyDescent="0.25">
      <c r="D47" s="17" t="s">
        <v>85</v>
      </c>
      <c r="E47" s="452">
        <v>2001</v>
      </c>
      <c r="F47" s="421" t="s">
        <v>47</v>
      </c>
      <c r="I47" s="419">
        <f>VLOOKUP(E47,'Schools List'!D:G,4,FALSE)</f>
        <v>0</v>
      </c>
    </row>
    <row r="48" spans="1:13" hidden="1" outlineLevel="1" x14ac:dyDescent="0.25">
      <c r="D48" s="17" t="s">
        <v>20</v>
      </c>
      <c r="E48" s="452">
        <v>2342</v>
      </c>
      <c r="F48" s="421" t="s">
        <v>47</v>
      </c>
      <c r="I48" s="419">
        <f>VLOOKUP(E48,'Schools List'!D:G,4,FALSE)</f>
        <v>0</v>
      </c>
    </row>
    <row r="49" spans="4:9" hidden="1" outlineLevel="1" x14ac:dyDescent="0.25">
      <c r="D49" s="17" t="s">
        <v>21</v>
      </c>
      <c r="E49" s="452">
        <v>2343</v>
      </c>
      <c r="F49" s="421" t="s">
        <v>47</v>
      </c>
      <c r="I49" s="419">
        <f>VLOOKUP(E49,'Schools List'!D:G,4,FALSE)</f>
        <v>0</v>
      </c>
    </row>
    <row r="50" spans="4:9" hidden="1" outlineLevel="1" x14ac:dyDescent="0.25">
      <c r="D50" s="17" t="s">
        <v>156</v>
      </c>
      <c r="E50" s="452">
        <v>3429</v>
      </c>
      <c r="F50" s="421" t="s">
        <v>47</v>
      </c>
      <c r="I50" s="419">
        <f>VLOOKUP(E50,'Schools List'!D:G,4,FALSE)</f>
        <v>0</v>
      </c>
    </row>
    <row r="51" spans="4:9" hidden="1" outlineLevel="1" x14ac:dyDescent="0.25">
      <c r="D51" s="17" t="s">
        <v>86</v>
      </c>
      <c r="E51" s="452">
        <v>2340</v>
      </c>
      <c r="F51" s="421" t="s">
        <v>47</v>
      </c>
      <c r="I51" s="419">
        <f>VLOOKUP(E51,'Schools List'!D:G,4,FALSE)</f>
        <v>0</v>
      </c>
    </row>
    <row r="52" spans="4:9" hidden="1" outlineLevel="1" x14ac:dyDescent="0.25">
      <c r="D52" s="17" t="s">
        <v>22</v>
      </c>
      <c r="E52" s="452">
        <v>2281</v>
      </c>
      <c r="F52" s="421" t="s">
        <v>47</v>
      </c>
      <c r="I52" s="419">
        <f>VLOOKUP(E52,'Schools List'!D:G,4,FALSE)</f>
        <v>0</v>
      </c>
    </row>
    <row r="53" spans="4:9" hidden="1" outlineLevel="1" x14ac:dyDescent="0.25">
      <c r="D53" s="17" t="s">
        <v>157</v>
      </c>
      <c r="E53" s="452">
        <v>2322</v>
      </c>
      <c r="F53" s="421" t="s">
        <v>47</v>
      </c>
      <c r="I53" s="419">
        <f>VLOOKUP(E53,'Schools List'!D:G,4,FALSE)</f>
        <v>0</v>
      </c>
    </row>
    <row r="54" spans="4:9" hidden="1" outlineLevel="1" x14ac:dyDescent="0.25">
      <c r="D54" s="17" t="s">
        <v>145</v>
      </c>
      <c r="E54" s="452">
        <v>2241</v>
      </c>
      <c r="F54" s="421" t="s">
        <v>47</v>
      </c>
      <c r="I54" s="419">
        <f>VLOOKUP(E54,'Schools List'!D:G,4,FALSE)</f>
        <v>0</v>
      </c>
    </row>
    <row r="55" spans="4:9" hidden="1" outlineLevel="1" x14ac:dyDescent="0.25">
      <c r="D55" s="17" t="s">
        <v>159</v>
      </c>
      <c r="E55" s="452">
        <v>2233</v>
      </c>
      <c r="F55" s="421" t="s">
        <v>47</v>
      </c>
      <c r="I55" s="419">
        <f>VLOOKUP(E55,'Schools List'!D:G,4,FALSE)</f>
        <v>0</v>
      </c>
    </row>
    <row r="56" spans="4:9" hidden="1" outlineLevel="1" x14ac:dyDescent="0.25">
      <c r="D56" s="17" t="s">
        <v>23</v>
      </c>
      <c r="E56" s="452">
        <v>2014</v>
      </c>
      <c r="F56" s="421" t="s">
        <v>47</v>
      </c>
      <c r="I56" s="419">
        <f>VLOOKUP(E56,'Schools List'!D:G,4,FALSE)</f>
        <v>0</v>
      </c>
    </row>
    <row r="57" spans="4:9" hidden="1" outlineLevel="1" x14ac:dyDescent="0.25">
      <c r="D57" s="17" t="s">
        <v>88</v>
      </c>
      <c r="E57" s="452">
        <v>5204</v>
      </c>
      <c r="F57" s="421" t="s">
        <v>47</v>
      </c>
      <c r="I57" s="419">
        <f>VLOOKUP(E57,'Schools List'!D:G,4,FALSE)</f>
        <v>0</v>
      </c>
    </row>
    <row r="58" spans="4:9" hidden="1" outlineLevel="1" x14ac:dyDescent="0.25">
      <c r="D58" s="17" t="s">
        <v>160</v>
      </c>
      <c r="E58" s="452">
        <v>2325</v>
      </c>
      <c r="F58" s="421" t="s">
        <v>47</v>
      </c>
      <c r="I58" s="419">
        <f>VLOOKUP(E58,'Schools List'!D:G,4,FALSE)</f>
        <v>0</v>
      </c>
    </row>
    <row r="59" spans="4:9" hidden="1" outlineLevel="1" x14ac:dyDescent="0.25">
      <c r="D59" s="17" t="s">
        <v>24</v>
      </c>
      <c r="E59" s="452">
        <v>2344</v>
      </c>
      <c r="F59" s="421" t="s">
        <v>47</v>
      </c>
      <c r="I59" s="419">
        <f>VLOOKUP(E59,'Schools List'!D:G,4,FALSE)</f>
        <v>0</v>
      </c>
    </row>
    <row r="60" spans="4:9" hidden="1" outlineLevel="1" x14ac:dyDescent="0.25">
      <c r="D60" s="17" t="s">
        <v>161</v>
      </c>
      <c r="E60" s="452">
        <v>2023</v>
      </c>
      <c r="F60" s="421" t="s">
        <v>47</v>
      </c>
      <c r="I60" s="419">
        <f>VLOOKUP(E60,'Schools List'!D:G,4,FALSE)</f>
        <v>0</v>
      </c>
    </row>
    <row r="61" spans="4:9" hidden="1" outlineLevel="1" x14ac:dyDescent="0.25">
      <c r="D61" s="17" t="s">
        <v>230</v>
      </c>
      <c r="E61" s="452">
        <v>5200</v>
      </c>
      <c r="F61" s="421" t="s">
        <v>47</v>
      </c>
      <c r="I61" s="419">
        <f>VLOOKUP(E61,'Schools List'!D:G,4,FALSE)</f>
        <v>0</v>
      </c>
    </row>
    <row r="62" spans="4:9" hidden="1" outlineLevel="1" x14ac:dyDescent="0.25">
      <c r="D62" s="17" t="s">
        <v>162</v>
      </c>
      <c r="E62" s="452">
        <v>2312</v>
      </c>
      <c r="F62" s="421" t="s">
        <v>47</v>
      </c>
      <c r="I62" s="419">
        <f>VLOOKUP(E62,'Schools List'!D:G,4,FALSE)</f>
        <v>0</v>
      </c>
    </row>
    <row r="63" spans="4:9" hidden="1" outlineLevel="1" x14ac:dyDescent="0.25">
      <c r="D63" s="17" t="s">
        <v>163</v>
      </c>
      <c r="E63" s="452">
        <v>3422</v>
      </c>
      <c r="F63" s="421" t="s">
        <v>47</v>
      </c>
      <c r="I63" s="419">
        <f>VLOOKUP(E63,'Schools List'!D:G,4,FALSE)</f>
        <v>0</v>
      </c>
    </row>
    <row r="64" spans="4:9" hidden="1" outlineLevel="1" x14ac:dyDescent="0.25">
      <c r="D64" s="17" t="s">
        <v>89</v>
      </c>
      <c r="E64" s="452">
        <v>2283</v>
      </c>
      <c r="F64" s="421" t="s">
        <v>47</v>
      </c>
      <c r="I64" s="419">
        <f>VLOOKUP(E64,'Schools List'!D:G,4,FALSE)</f>
        <v>0</v>
      </c>
    </row>
    <row r="65" spans="4:9" hidden="1" outlineLevel="1" x14ac:dyDescent="0.25">
      <c r="D65" s="17" t="s">
        <v>90</v>
      </c>
      <c r="E65" s="452">
        <v>2239</v>
      </c>
      <c r="F65" s="421" t="s">
        <v>47</v>
      </c>
      <c r="I65" s="419">
        <f>VLOOKUP(E65,'Schools List'!D:G,4,FALSE)</f>
        <v>0</v>
      </c>
    </row>
    <row r="66" spans="4:9" hidden="1" outlineLevel="1" x14ac:dyDescent="0.25">
      <c r="D66" s="17" t="s">
        <v>91</v>
      </c>
      <c r="E66" s="452">
        <v>2364</v>
      </c>
      <c r="F66" s="421" t="s">
        <v>47</v>
      </c>
      <c r="I66" s="419">
        <f>VLOOKUP(E66,'Schools List'!D:G,4,FALSE)</f>
        <v>0</v>
      </c>
    </row>
    <row r="67" spans="4:9" hidden="1" outlineLevel="1" x14ac:dyDescent="0.25">
      <c r="D67" s="17" t="s">
        <v>409</v>
      </c>
      <c r="E67" s="452">
        <v>2206</v>
      </c>
      <c r="F67" s="421" t="s">
        <v>47</v>
      </c>
      <c r="I67" s="419">
        <f>VLOOKUP(E67,'Schools List'!D:G,4,FALSE)</f>
        <v>0</v>
      </c>
    </row>
    <row r="68" spans="4:9" hidden="1" outlineLevel="1" x14ac:dyDescent="0.25">
      <c r="D68" s="17" t="s">
        <v>92</v>
      </c>
      <c r="E68" s="452">
        <v>2080</v>
      </c>
      <c r="F68" s="421" t="s">
        <v>47</v>
      </c>
      <c r="I68" s="419">
        <f>VLOOKUP(E68,'Schools List'!D:G,4,FALSE)</f>
        <v>0</v>
      </c>
    </row>
    <row r="69" spans="4:9" hidden="1" outlineLevel="1" x14ac:dyDescent="0.25">
      <c r="D69" s="17" t="s">
        <v>25</v>
      </c>
      <c r="E69" s="452">
        <v>2036</v>
      </c>
      <c r="F69" s="421" t="s">
        <v>47</v>
      </c>
      <c r="I69" s="419">
        <f>VLOOKUP(E69,'Schools List'!D:G,4,FALSE)</f>
        <v>0</v>
      </c>
    </row>
    <row r="70" spans="4:9" hidden="1" outlineLevel="1" x14ac:dyDescent="0.25">
      <c r="D70" s="17" t="s">
        <v>165</v>
      </c>
      <c r="E70" s="452">
        <v>2296</v>
      </c>
      <c r="F70" s="421" t="s">
        <v>47</v>
      </c>
      <c r="I70" s="419">
        <f>VLOOKUP(E70,'Schools List'!D:G,4,FALSE)</f>
        <v>0</v>
      </c>
    </row>
    <row r="71" spans="4:9" hidden="1" outlineLevel="1" x14ac:dyDescent="0.25">
      <c r="D71" s="17" t="s">
        <v>166</v>
      </c>
      <c r="E71" s="452">
        <v>2356</v>
      </c>
      <c r="F71" s="421" t="s">
        <v>47</v>
      </c>
      <c r="I71" s="419">
        <f>VLOOKUP(E71,'Schools List'!D:G,4,FALSE)</f>
        <v>0</v>
      </c>
    </row>
    <row r="72" spans="4:9" hidden="1" outlineLevel="1" x14ac:dyDescent="0.25">
      <c r="D72" s="17" t="s">
        <v>93</v>
      </c>
      <c r="E72" s="452">
        <v>2279</v>
      </c>
      <c r="F72" s="421" t="s">
        <v>47</v>
      </c>
      <c r="I72" s="419">
        <f>VLOOKUP(E72,'Schools List'!D:G,4,FALSE)</f>
        <v>0</v>
      </c>
    </row>
    <row r="73" spans="4:9" hidden="1" outlineLevel="1" x14ac:dyDescent="0.25">
      <c r="D73" s="17" t="s">
        <v>26</v>
      </c>
      <c r="E73" s="452">
        <v>2252</v>
      </c>
      <c r="F73" s="421" t="s">
        <v>47</v>
      </c>
      <c r="I73" s="419">
        <f>VLOOKUP(E73,'Schools List'!D:G,4,FALSE)</f>
        <v>0</v>
      </c>
    </row>
    <row r="74" spans="4:9" hidden="1" outlineLevel="1" x14ac:dyDescent="0.25">
      <c r="D74" s="17" t="s">
        <v>94</v>
      </c>
      <c r="E74" s="452">
        <v>2297</v>
      </c>
      <c r="F74" s="421" t="s">
        <v>47</v>
      </c>
      <c r="I74" s="419">
        <f>VLOOKUP(E74,'Schools List'!D:G,4,FALSE)</f>
        <v>0</v>
      </c>
    </row>
    <row r="75" spans="4:9" hidden="1" outlineLevel="1" x14ac:dyDescent="0.25">
      <c r="D75" s="17" t="s">
        <v>167</v>
      </c>
      <c r="E75" s="452">
        <v>2213</v>
      </c>
      <c r="F75" s="421" t="s">
        <v>47</v>
      </c>
      <c r="I75" s="419">
        <f>VLOOKUP(E75,'Schools List'!D:G,4,FALSE)</f>
        <v>0</v>
      </c>
    </row>
    <row r="76" spans="4:9" hidden="1" outlineLevel="1" x14ac:dyDescent="0.25">
      <c r="D76" s="17" t="s">
        <v>95</v>
      </c>
      <c r="E76" s="452">
        <v>2060</v>
      </c>
      <c r="F76" s="421" t="s">
        <v>47</v>
      </c>
      <c r="I76" s="419">
        <f>VLOOKUP(E76,'Schools List'!D:G,4,FALSE)</f>
        <v>0</v>
      </c>
    </row>
    <row r="77" spans="4:9" hidden="1" outlineLevel="1" x14ac:dyDescent="0.25">
      <c r="D77" s="17" t="s">
        <v>168</v>
      </c>
      <c r="E77" s="452">
        <v>2058</v>
      </c>
      <c r="F77" s="421" t="s">
        <v>47</v>
      </c>
      <c r="I77" s="419">
        <f>VLOOKUP(E77,'Schools List'!D:G,4,FALSE)</f>
        <v>0</v>
      </c>
    </row>
    <row r="78" spans="4:9" hidden="1" outlineLevel="1" x14ac:dyDescent="0.25">
      <c r="D78" s="17" t="s">
        <v>96</v>
      </c>
      <c r="E78" s="452">
        <v>2063</v>
      </c>
      <c r="F78" s="421" t="s">
        <v>47</v>
      </c>
      <c r="I78" s="419">
        <f>VLOOKUP(E78,'Schools List'!D:G,4,FALSE)</f>
        <v>0</v>
      </c>
    </row>
    <row r="79" spans="4:9" hidden="1" outlineLevel="1" x14ac:dyDescent="0.25">
      <c r="D79" s="17" t="s">
        <v>97</v>
      </c>
      <c r="E79" s="452">
        <v>2261</v>
      </c>
      <c r="F79" s="421" t="s">
        <v>47</v>
      </c>
      <c r="I79" s="419">
        <f>VLOOKUP(E79,'Schools List'!D:G,4,FALSE)</f>
        <v>0</v>
      </c>
    </row>
    <row r="80" spans="4:9" hidden="1" outlineLevel="1" x14ac:dyDescent="0.25">
      <c r="D80" s="17" t="s">
        <v>169</v>
      </c>
      <c r="E80" s="452">
        <v>2070</v>
      </c>
      <c r="F80" s="421" t="s">
        <v>47</v>
      </c>
      <c r="I80" s="419">
        <f>VLOOKUP(E80,'Schools List'!D:G,4,FALSE)</f>
        <v>0</v>
      </c>
    </row>
    <row r="81" spans="4:9" hidden="1" outlineLevel="1" x14ac:dyDescent="0.25">
      <c r="D81" s="17" t="s">
        <v>99</v>
      </c>
      <c r="E81" s="452">
        <v>2072</v>
      </c>
      <c r="F81" s="421" t="s">
        <v>47</v>
      </c>
      <c r="I81" s="419">
        <f>VLOOKUP(E81,'Schools List'!D:G,4,FALSE)</f>
        <v>0</v>
      </c>
    </row>
    <row r="82" spans="4:9" hidden="1" outlineLevel="1" x14ac:dyDescent="0.25">
      <c r="D82" s="17" t="s">
        <v>100</v>
      </c>
      <c r="E82" s="452">
        <v>2071</v>
      </c>
      <c r="F82" s="421" t="s">
        <v>47</v>
      </c>
      <c r="I82" s="419">
        <f>VLOOKUP(E82,'Schools List'!D:G,4,FALSE)</f>
        <v>0</v>
      </c>
    </row>
    <row r="83" spans="4:9" hidden="1" outlineLevel="1" x14ac:dyDescent="0.25">
      <c r="D83" s="17" t="s">
        <v>170</v>
      </c>
      <c r="E83" s="452">
        <v>2079</v>
      </c>
      <c r="F83" s="421" t="s">
        <v>47</v>
      </c>
      <c r="I83" s="419">
        <f>VLOOKUP(E83,'Schools List'!D:G,4,FALSE)</f>
        <v>0</v>
      </c>
    </row>
    <row r="84" spans="4:9" hidden="1" outlineLevel="1" x14ac:dyDescent="0.25">
      <c r="D84" s="17" t="s">
        <v>27</v>
      </c>
      <c r="E84" s="452">
        <v>2081</v>
      </c>
      <c r="F84" s="421" t="s">
        <v>47</v>
      </c>
      <c r="I84" s="419">
        <f>VLOOKUP(E84,'Schools List'!D:G,4,FALSE)</f>
        <v>0</v>
      </c>
    </row>
    <row r="85" spans="4:9" hidden="1" outlineLevel="1" x14ac:dyDescent="0.25">
      <c r="D85" s="17" t="s">
        <v>101</v>
      </c>
      <c r="E85" s="452">
        <v>2257</v>
      </c>
      <c r="F85" s="421" t="s">
        <v>47</v>
      </c>
      <c r="I85" s="419">
        <f>VLOOKUP(E85,'Schools List'!D:G,4,FALSE)</f>
        <v>0</v>
      </c>
    </row>
    <row r="86" spans="4:9" hidden="1" outlineLevel="1" x14ac:dyDescent="0.25">
      <c r="D86" s="17" t="s">
        <v>102</v>
      </c>
      <c r="E86" s="452">
        <v>2092</v>
      </c>
      <c r="F86" s="421" t="s">
        <v>47</v>
      </c>
      <c r="I86" s="419">
        <f>VLOOKUP(E86,'Schools List'!D:G,4,FALSE)</f>
        <v>0</v>
      </c>
    </row>
    <row r="87" spans="4:9" hidden="1" outlineLevel="1" x14ac:dyDescent="0.25">
      <c r="D87" s="17" t="s">
        <v>103</v>
      </c>
      <c r="E87" s="452">
        <v>2221</v>
      </c>
      <c r="F87" s="421" t="s">
        <v>47</v>
      </c>
      <c r="I87" s="419">
        <f>VLOOKUP(E87,'Schools List'!D:G,4,FALSE)</f>
        <v>0</v>
      </c>
    </row>
    <row r="88" spans="4:9" hidden="1" outlineLevel="1" x14ac:dyDescent="0.25">
      <c r="D88" s="17" t="s">
        <v>104</v>
      </c>
      <c r="E88" s="452">
        <v>2087</v>
      </c>
      <c r="F88" s="421" t="s">
        <v>47</v>
      </c>
      <c r="I88" s="419">
        <f>VLOOKUP(E88,'Schools List'!D:G,4,FALSE)</f>
        <v>0</v>
      </c>
    </row>
    <row r="89" spans="4:9" hidden="1" outlineLevel="1" x14ac:dyDescent="0.25">
      <c r="D89" s="17" t="s">
        <v>28</v>
      </c>
      <c r="E89" s="452">
        <v>2272</v>
      </c>
      <c r="F89" s="421" t="s">
        <v>47</v>
      </c>
      <c r="I89" s="419">
        <f>VLOOKUP(E89,'Schools List'!D:G,4,FALSE)</f>
        <v>0</v>
      </c>
    </row>
    <row r="90" spans="4:9" hidden="1" outlineLevel="1" x14ac:dyDescent="0.25">
      <c r="D90" s="17" t="s">
        <v>171</v>
      </c>
      <c r="E90" s="452">
        <v>3010</v>
      </c>
      <c r="F90" s="421" t="s">
        <v>47</v>
      </c>
      <c r="I90" s="419">
        <f>VLOOKUP(E90,'Schools List'!D:G,4,FALSE)</f>
        <v>0</v>
      </c>
    </row>
    <row r="91" spans="4:9" hidden="1" outlineLevel="1" x14ac:dyDescent="0.25">
      <c r="D91" s="17" t="s">
        <v>174</v>
      </c>
      <c r="E91" s="452">
        <v>3428</v>
      </c>
      <c r="F91" s="421" t="s">
        <v>47</v>
      </c>
      <c r="I91" s="419">
        <f>VLOOKUP(E91,'Schools List'!D:G,4,FALSE)</f>
        <v>0</v>
      </c>
    </row>
    <row r="92" spans="4:9" hidden="1" outlineLevel="1" x14ac:dyDescent="0.25">
      <c r="D92" s="17" t="s">
        <v>29</v>
      </c>
      <c r="E92" s="452">
        <v>3433</v>
      </c>
      <c r="F92" s="421" t="s">
        <v>47</v>
      </c>
      <c r="I92" s="419">
        <f>VLOOKUP(E92,'Schools List'!D:G,4,FALSE)</f>
        <v>0</v>
      </c>
    </row>
    <row r="93" spans="4:9" hidden="1" outlineLevel="1" x14ac:dyDescent="0.25">
      <c r="D93" s="17" t="s">
        <v>30</v>
      </c>
      <c r="E93" s="452">
        <v>2347</v>
      </c>
      <c r="F93" s="421" t="s">
        <v>47</v>
      </c>
      <c r="I93" s="419">
        <f>VLOOKUP(E93,'Schools List'!D:G,4,FALSE)</f>
        <v>0</v>
      </c>
    </row>
    <row r="94" spans="4:9" hidden="1" outlineLevel="1" x14ac:dyDescent="0.25">
      <c r="D94" s="17" t="s">
        <v>31</v>
      </c>
      <c r="E94" s="452">
        <v>2334</v>
      </c>
      <c r="F94" s="421" t="s">
        <v>47</v>
      </c>
      <c r="I94" s="419">
        <f>VLOOKUP(E94,'Schools List'!D:G,4,FALSE)</f>
        <v>0</v>
      </c>
    </row>
    <row r="95" spans="4:9" hidden="1" outlineLevel="1" x14ac:dyDescent="0.25">
      <c r="D95" s="17" t="s">
        <v>32</v>
      </c>
      <c r="E95" s="452">
        <v>2338</v>
      </c>
      <c r="F95" s="421" t="s">
        <v>47</v>
      </c>
      <c r="I95" s="419">
        <f>VLOOKUP(E95,'Schools List'!D:G,4,FALSE)</f>
        <v>0</v>
      </c>
    </row>
    <row r="96" spans="4:9" hidden="1" outlineLevel="1" x14ac:dyDescent="0.25">
      <c r="D96" s="17" t="s">
        <v>175</v>
      </c>
      <c r="E96" s="452">
        <v>2306</v>
      </c>
      <c r="F96" s="421" t="s">
        <v>47</v>
      </c>
      <c r="I96" s="419">
        <f>VLOOKUP(E96,'Schools List'!D:G,4,FALSE)</f>
        <v>0</v>
      </c>
    </row>
    <row r="97" spans="4:9" hidden="1" outlineLevel="1" x14ac:dyDescent="0.25">
      <c r="D97" s="17" t="s">
        <v>176</v>
      </c>
      <c r="E97" s="452">
        <v>2369</v>
      </c>
      <c r="F97" s="421" t="s">
        <v>47</v>
      </c>
      <c r="I97" s="419">
        <f>VLOOKUP(E97,'Schools List'!D:G,4,FALSE)</f>
        <v>0</v>
      </c>
    </row>
    <row r="98" spans="4:9" hidden="1" outlineLevel="1" x14ac:dyDescent="0.25">
      <c r="D98" s="17" t="s">
        <v>33</v>
      </c>
      <c r="E98" s="452">
        <v>2349</v>
      </c>
      <c r="F98" s="421" t="s">
        <v>47</v>
      </c>
      <c r="I98" s="419">
        <f>VLOOKUP(E98,'Schools List'!D:G,4,FALSE)</f>
        <v>0</v>
      </c>
    </row>
    <row r="99" spans="4:9" hidden="1" outlineLevel="1" x14ac:dyDescent="0.25">
      <c r="D99" s="17" t="s">
        <v>177</v>
      </c>
      <c r="E99" s="452">
        <v>2360</v>
      </c>
      <c r="F99" s="421" t="s">
        <v>47</v>
      </c>
      <c r="I99" s="419">
        <f>VLOOKUP(E99,'Schools List'!D:G,4,FALSE)</f>
        <v>0</v>
      </c>
    </row>
    <row r="100" spans="4:9" hidden="1" outlineLevel="1" x14ac:dyDescent="0.25">
      <c r="D100" s="17" t="s">
        <v>34</v>
      </c>
      <c r="E100" s="452">
        <v>2329</v>
      </c>
      <c r="F100" s="421" t="s">
        <v>47</v>
      </c>
      <c r="I100" s="419">
        <f>VLOOKUP(E100,'Schools List'!D:G,4,FALSE)</f>
        <v>0</v>
      </c>
    </row>
    <row r="101" spans="4:9" hidden="1" outlineLevel="1" x14ac:dyDescent="0.25">
      <c r="D101" s="17" t="s">
        <v>35</v>
      </c>
      <c r="E101" s="452">
        <v>5208</v>
      </c>
      <c r="F101" s="421" t="s">
        <v>47</v>
      </c>
      <c r="I101" s="419">
        <f>VLOOKUP(E101,'Schools List'!D:G,4,FALSE)</f>
        <v>0</v>
      </c>
    </row>
    <row r="102" spans="4:9" hidden="1" outlineLevel="1" x14ac:dyDescent="0.25">
      <c r="D102" s="17" t="s">
        <v>108</v>
      </c>
      <c r="E102" s="452">
        <v>2303</v>
      </c>
      <c r="F102" s="421" t="s">
        <v>47</v>
      </c>
      <c r="I102" s="419">
        <f>VLOOKUP(E102,'Schools List'!D:G,4,FALSE)</f>
        <v>0</v>
      </c>
    </row>
    <row r="103" spans="4:9" hidden="1" outlineLevel="1" x14ac:dyDescent="0.25">
      <c r="D103" s="17" t="s">
        <v>37</v>
      </c>
      <c r="E103" s="452">
        <v>2350</v>
      </c>
      <c r="F103" s="421" t="s">
        <v>47</v>
      </c>
      <c r="I103" s="419">
        <f>VLOOKUP(E103,'Schools List'!D:G,4,FALSE)</f>
        <v>0</v>
      </c>
    </row>
    <row r="104" spans="4:9" hidden="1" outlineLevel="1" x14ac:dyDescent="0.25">
      <c r="D104" s="17" t="s">
        <v>38</v>
      </c>
      <c r="E104" s="452">
        <v>2351</v>
      </c>
      <c r="F104" s="421" t="s">
        <v>47</v>
      </c>
      <c r="I104" s="419">
        <f>VLOOKUP(E104,'Schools List'!D:G,4,FALSE)</f>
        <v>0</v>
      </c>
    </row>
    <row r="105" spans="4:9" hidden="1" outlineLevel="1" x14ac:dyDescent="0.25">
      <c r="D105" s="17" t="s">
        <v>179</v>
      </c>
      <c r="E105" s="452">
        <v>3432</v>
      </c>
      <c r="F105" s="421" t="s">
        <v>47</v>
      </c>
      <c r="I105" s="419">
        <f>VLOOKUP(E105,'Schools List'!D:G,4,FALSE)</f>
        <v>0</v>
      </c>
    </row>
    <row r="106" spans="4:9" hidden="1" outlineLevel="1" x14ac:dyDescent="0.25">
      <c r="D106" s="17" t="s">
        <v>180</v>
      </c>
      <c r="E106" s="452">
        <v>2319</v>
      </c>
      <c r="F106" s="421" t="s">
        <v>47</v>
      </c>
      <c r="I106" s="419">
        <f>VLOOKUP(E106,'Schools List'!D:G,4,FALSE)</f>
        <v>0</v>
      </c>
    </row>
    <row r="107" spans="4:9" hidden="1" outlineLevel="1" x14ac:dyDescent="0.25">
      <c r="D107" s="17" t="s">
        <v>39</v>
      </c>
      <c r="E107" s="452">
        <v>2352</v>
      </c>
      <c r="F107" s="421" t="s">
        <v>47</v>
      </c>
      <c r="I107" s="419">
        <f>VLOOKUP(E107,'Schools List'!D:G,4,FALSE)</f>
        <v>0</v>
      </c>
    </row>
    <row r="108" spans="4:9" hidden="1" outlineLevel="1" x14ac:dyDescent="0.25">
      <c r="D108" s="17" t="s">
        <v>136</v>
      </c>
      <c r="E108" s="452">
        <v>4259</v>
      </c>
      <c r="F108" s="421" t="s">
        <v>133</v>
      </c>
      <c r="I108" s="419">
        <f>VLOOKUP(E108,'Schools List'!D:G,4,FALSE)</f>
        <v>0</v>
      </c>
    </row>
    <row r="109" spans="4:9" collapsed="1" x14ac:dyDescent="0.25"/>
  </sheetData>
  <sortState xmlns:xlrd2="http://schemas.microsoft.com/office/spreadsheetml/2017/richdata2" ref="A47:M107">
    <sortCondition ref="I47:I107"/>
  </sortState>
  <mergeCells count="2">
    <mergeCell ref="G10:H10"/>
    <mergeCell ref="J1:K2"/>
  </mergeCells>
  <hyperlinks>
    <hyperlink ref="J1:K2" location="Instructions!C17" tooltip="Link to Instructions" display="Back to Main Menu" xr:uid="{41D838EF-3C2B-41B1-B348-B4B14787F913}"/>
  </hyperlinks>
  <pageMargins left="0.18" right="0.17" top="1" bottom="1" header="0.5" footer="0.5"/>
  <pageSetup paperSize="9" scale="93" orientation="portrait" r:id="rId1"/>
  <headerFooter alignWithMargins="0">
    <oddFooter>&amp;L&amp;8&amp;Z&amp;F - &amp;A</oddFooter>
  </headerFooter>
  <drawing r:id="rId2"/>
  <legacyDrawing r:id="rId3"/>
  <controls>
    <mc:AlternateContent xmlns:mc="http://schemas.openxmlformats.org/markup-compatibility/2006">
      <mc:Choice Requires="x14">
        <control shapeId="121857" r:id="rId4" name="ComboBox1">
          <controlPr defaultSize="0" autoLine="0" altText="Drop down list of schools" linkedCell="C46" listFillRange="D47:E109" r:id="rId5">
            <anchor moveWithCells="1">
              <from>
                <xdr:col>1</xdr:col>
                <xdr:colOff>114300</xdr:colOff>
                <xdr:row>2</xdr:row>
                <xdr:rowOff>6350</xdr:rowOff>
              </from>
              <to>
                <xdr:col>3</xdr:col>
                <xdr:colOff>336550</xdr:colOff>
                <xdr:row>3</xdr:row>
                <xdr:rowOff>139700</xdr:rowOff>
              </to>
            </anchor>
          </controlPr>
        </control>
      </mc:Choice>
      <mc:Fallback>
        <control shapeId="121857" r:id="rId4" name="ComboBox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F2A3-6492-41CE-B088-9C9540209900}">
  <sheetPr>
    <pageSetUpPr fitToPage="1"/>
  </sheetPr>
  <dimension ref="A1:AO48"/>
  <sheetViews>
    <sheetView workbookViewId="0">
      <pane xSplit="4" ySplit="3" topLeftCell="E11" activePane="bottomRight" state="frozen"/>
      <selection activeCell="C1" sqref="C1"/>
      <selection pane="topRight" activeCell="D1" sqref="D1"/>
      <selection pane="bottomLeft" activeCell="C4" sqref="C4"/>
      <selection pane="bottomRight" activeCell="K12" sqref="K12"/>
    </sheetView>
  </sheetViews>
  <sheetFormatPr defaultColWidth="8.90625" defaultRowHeight="14.5" x14ac:dyDescent="0.35"/>
  <cols>
    <col min="1" max="1" width="9.54296875" style="495" hidden="1" customWidth="1"/>
    <col min="2" max="2" width="9.54296875" style="495" bestFit="1" customWidth="1"/>
    <col min="3" max="3" width="9.90625" style="495" customWidth="1"/>
    <col min="4" max="4" width="45" style="495" bestFit="1" customWidth="1"/>
    <col min="5" max="5" width="12" style="495" customWidth="1"/>
    <col min="6" max="7" width="13.36328125" style="495" customWidth="1"/>
    <col min="8" max="8" width="11.36328125" style="495" customWidth="1"/>
    <col min="9" max="9" width="14.36328125" style="495" customWidth="1"/>
    <col min="10" max="17" width="12.54296875" style="557" customWidth="1"/>
    <col min="18" max="19" width="12.36328125" style="495" customWidth="1"/>
    <col min="20" max="22" width="12.08984375" style="495" customWidth="1"/>
    <col min="23" max="23" width="11.54296875" style="495" customWidth="1"/>
    <col min="24" max="24" width="6.453125" style="495" customWidth="1"/>
    <col min="25" max="25" width="2.54296875" style="495" customWidth="1"/>
    <col min="26" max="26" width="11.6328125" style="495" customWidth="1"/>
    <col min="27" max="27" width="13" style="495" customWidth="1"/>
    <col min="28" max="28" width="9.6328125" style="495" customWidth="1"/>
    <col min="29" max="29" width="9.90625" style="495" customWidth="1"/>
    <col min="30" max="30" width="11.453125" style="495" customWidth="1"/>
    <col min="31" max="31" width="11.6328125" style="495" customWidth="1"/>
    <col min="32" max="32" width="4.08984375" style="499" customWidth="1"/>
    <col min="33" max="33" width="10.36328125" style="495" hidden="1" customWidth="1"/>
    <col min="34" max="34" width="13" style="495" hidden="1" customWidth="1"/>
    <col min="35" max="35" width="8.90625" style="495" hidden="1" customWidth="1"/>
    <col min="36" max="36" width="12.54296875" style="495" hidden="1" customWidth="1"/>
    <col min="37" max="37" width="13.6328125" style="495" hidden="1" customWidth="1"/>
    <col min="38" max="38" width="8.90625" style="495" hidden="1" customWidth="1"/>
    <col min="39" max="39" width="8.1796875" style="495" bestFit="1" customWidth="1"/>
    <col min="40" max="41" width="8.81640625" style="495" bestFit="1" customWidth="1"/>
    <col min="42" max="16384" width="8.90625" style="495"/>
  </cols>
  <sheetData>
    <row r="1" spans="1:41" ht="36" customHeight="1" x14ac:dyDescent="0.4">
      <c r="A1" s="494"/>
      <c r="C1" s="494"/>
      <c r="D1" s="496" t="s">
        <v>397</v>
      </c>
      <c r="E1" s="494"/>
      <c r="F1" s="497" t="s">
        <v>398</v>
      </c>
      <c r="G1" s="494"/>
      <c r="H1" s="494"/>
      <c r="I1" s="494"/>
      <c r="J1" s="498"/>
      <c r="K1" s="498"/>
      <c r="L1" s="498"/>
      <c r="M1" s="498"/>
      <c r="N1" s="498"/>
      <c r="O1" s="498"/>
      <c r="P1" s="498"/>
      <c r="Q1" s="498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41" x14ac:dyDescent="0.35">
      <c r="A2" s="494"/>
      <c r="B2" s="500">
        <v>1</v>
      </c>
      <c r="C2" s="500">
        <v>2</v>
      </c>
      <c r="D2" s="500">
        <v>3</v>
      </c>
      <c r="E2" s="500">
        <v>4</v>
      </c>
      <c r="F2" s="500">
        <v>5</v>
      </c>
      <c r="G2" s="500">
        <v>6</v>
      </c>
      <c r="H2" s="500">
        <v>7</v>
      </c>
      <c r="I2" s="500">
        <v>8</v>
      </c>
      <c r="J2" s="500">
        <v>9</v>
      </c>
      <c r="K2" s="500">
        <v>10</v>
      </c>
      <c r="L2" s="500">
        <v>11</v>
      </c>
      <c r="M2" s="500">
        <v>12</v>
      </c>
      <c r="N2" s="500">
        <v>13</v>
      </c>
      <c r="O2" s="500">
        <v>14</v>
      </c>
      <c r="P2" s="500">
        <v>15</v>
      </c>
      <c r="Q2" s="500">
        <v>16</v>
      </c>
      <c r="R2" s="500">
        <v>17</v>
      </c>
      <c r="S2" s="500">
        <v>18</v>
      </c>
      <c r="T2" s="500">
        <v>19</v>
      </c>
      <c r="U2" s="500">
        <v>20</v>
      </c>
      <c r="V2" s="500">
        <v>21</v>
      </c>
      <c r="W2" s="500">
        <v>22</v>
      </c>
      <c r="X2" s="500">
        <v>23</v>
      </c>
      <c r="Y2" s="500">
        <v>24</v>
      </c>
      <c r="Z2" s="500">
        <v>25</v>
      </c>
      <c r="AA2" s="500">
        <v>26</v>
      </c>
      <c r="AB2" s="494">
        <v>100101</v>
      </c>
      <c r="AC2" s="494">
        <v>100143</v>
      </c>
      <c r="AD2" s="494">
        <v>100261</v>
      </c>
    </row>
    <row r="3" spans="1:41" ht="98.5" x14ac:dyDescent="0.35">
      <c r="A3" s="494"/>
      <c r="B3" s="501" t="s">
        <v>192</v>
      </c>
      <c r="C3" s="502" t="s">
        <v>114</v>
      </c>
      <c r="D3" s="503"/>
      <c r="E3" s="504" t="s">
        <v>193</v>
      </c>
      <c r="F3" s="505" t="s">
        <v>194</v>
      </c>
      <c r="G3" s="505" t="s">
        <v>399</v>
      </c>
      <c r="H3" s="505" t="s">
        <v>195</v>
      </c>
      <c r="I3" s="505" t="s">
        <v>400</v>
      </c>
      <c r="J3" s="504" t="s">
        <v>401</v>
      </c>
      <c r="K3" s="506" t="s">
        <v>234</v>
      </c>
      <c r="L3" s="506" t="s">
        <v>402</v>
      </c>
      <c r="M3" s="506" t="s">
        <v>403</v>
      </c>
      <c r="N3" s="506" t="s">
        <v>404</v>
      </c>
      <c r="O3" s="506" t="s">
        <v>405</v>
      </c>
      <c r="P3" s="507" t="s">
        <v>196</v>
      </c>
      <c r="Q3" s="507" t="s">
        <v>197</v>
      </c>
      <c r="R3" s="508" t="s">
        <v>198</v>
      </c>
      <c r="S3" s="508" t="s">
        <v>199</v>
      </c>
      <c r="T3" s="509" t="s">
        <v>200</v>
      </c>
      <c r="U3" s="508" t="s">
        <v>201</v>
      </c>
      <c r="V3" s="508" t="s">
        <v>202</v>
      </c>
      <c r="W3" s="508" t="s">
        <v>203</v>
      </c>
      <c r="X3" s="510"/>
      <c r="Y3" s="510"/>
      <c r="Z3" s="511" t="s">
        <v>204</v>
      </c>
      <c r="AA3" s="512" t="s">
        <v>235</v>
      </c>
      <c r="AB3" s="511" t="s">
        <v>236</v>
      </c>
      <c r="AC3" s="508" t="s">
        <v>75</v>
      </c>
      <c r="AD3" s="513" t="s">
        <v>150</v>
      </c>
      <c r="AE3" s="511" t="s">
        <v>237</v>
      </c>
      <c r="AG3" s="514" t="s">
        <v>205</v>
      </c>
      <c r="AH3" s="514" t="s">
        <v>206</v>
      </c>
      <c r="AJ3" s="514" t="s">
        <v>205</v>
      </c>
      <c r="AK3" s="514" t="s">
        <v>206</v>
      </c>
      <c r="AM3" s="515" t="s">
        <v>75</v>
      </c>
      <c r="AN3" s="516" t="s">
        <v>238</v>
      </c>
      <c r="AO3" s="516" t="s">
        <v>239</v>
      </c>
    </row>
    <row r="4" spans="1:41" x14ac:dyDescent="0.35">
      <c r="A4" s="494" t="s">
        <v>110</v>
      </c>
      <c r="B4" s="502">
        <v>3735401</v>
      </c>
      <c r="C4" s="502">
        <v>5401</v>
      </c>
      <c r="D4" s="517" t="s">
        <v>207</v>
      </c>
      <c r="E4" s="518">
        <f>'[22]2020 to 2021 HN Data'!$I$8</f>
        <v>4</v>
      </c>
      <c r="F4" s="502">
        <f>VLOOKUP(B4,'[31]IR places for mainstream formul'!$A$9:$I$185,9,FALSE)</f>
        <v>4</v>
      </c>
      <c r="G4" s="502">
        <v>4</v>
      </c>
      <c r="H4" s="502">
        <f>F4</f>
        <v>4</v>
      </c>
      <c r="I4" s="519">
        <f>(G4/12*5)+(H4/12*7)</f>
        <v>3.9999999999999996</v>
      </c>
      <c r="J4" s="520">
        <f>VLOOKUP(C4,'[36]IR Budget 2021 22 funding rate'!C4:F18,4,FALSE)</f>
        <v>11614.277704644057</v>
      </c>
      <c r="K4" s="521">
        <f t="shared" ref="K4:K18" si="0">I4*J4</f>
        <v>46457.11081857622</v>
      </c>
      <c r="L4" s="521">
        <f>VLOOKUP(C4,'[37]Budget Share'!$D$9:$AK$173,34,FALSE)</f>
        <v>5727.1964529711822</v>
      </c>
      <c r="M4" s="521">
        <f>O4*L4</f>
        <v>22908.785811884729</v>
      </c>
      <c r="N4" s="521">
        <f>I4-O4</f>
        <v>0</v>
      </c>
      <c r="O4" s="521">
        <f>VLOOKUP(C4,'[31]IR places for mainstream formul'!$D$9:$I$185,6,FALSE)</f>
        <v>4</v>
      </c>
      <c r="P4" s="520">
        <f>O4</f>
        <v>4</v>
      </c>
      <c r="Q4" s="522">
        <f t="shared" ref="Q4:Q18" si="1">P4*Z4</f>
        <v>22908.785811884729</v>
      </c>
      <c r="R4" s="523">
        <f t="shared" ref="R4:R18" si="2">IF(P4&lt;I4,I4-P4,0)</f>
        <v>0</v>
      </c>
      <c r="S4" s="524">
        <f t="shared" ref="S4:S18" si="3">R4*Z4</f>
        <v>0</v>
      </c>
      <c r="T4" s="525">
        <f>E4*6000</f>
        <v>24000</v>
      </c>
      <c r="U4" s="524">
        <f>(I4-E4)*6000</f>
        <v>-2.6645352591003757E-12</v>
      </c>
      <c r="V4" s="524">
        <f>(I4*J4)-Q4-S4-T4-U4</f>
        <v>-451.67499330850575</v>
      </c>
      <c r="W4" s="526">
        <f t="shared" ref="W4:W18" si="4">SUM(S4:V4)</f>
        <v>23548.325006691492</v>
      </c>
      <c r="X4" s="527">
        <f>I4*J4-W4-Q4</f>
        <v>0</v>
      </c>
      <c r="Y4" s="527"/>
      <c r="Z4" s="523">
        <f>L4</f>
        <v>5727.1964529711822</v>
      </c>
      <c r="AA4" s="528">
        <f t="shared" ref="AA4:AA18" si="5">Q4+W4</f>
        <v>46457.11081857622</v>
      </c>
      <c r="AB4" s="529">
        <f t="shared" ref="AB4:AB18" si="6">Q4</f>
        <v>22908.785811884729</v>
      </c>
      <c r="AC4" s="529">
        <f t="shared" ref="AC4:AC18" si="7">S4+T4+U4</f>
        <v>23999.999999999996</v>
      </c>
      <c r="AD4" s="529">
        <f t="shared" ref="AD4:AD18" si="8">V4</f>
        <v>-451.67499330850575</v>
      </c>
      <c r="AE4" s="530">
        <f>SUM(AB4:AD4)</f>
        <v>46457.110818576213</v>
      </c>
      <c r="AF4" s="531">
        <f t="shared" ref="AF4:AF19" si="9">AE4-AA4</f>
        <v>0</v>
      </c>
      <c r="AG4" s="532">
        <v>6</v>
      </c>
      <c r="AH4" s="532">
        <v>4</v>
      </c>
      <c r="AJ4" s="532">
        <f>F4-AG4</f>
        <v>-2</v>
      </c>
      <c r="AK4" s="532">
        <f>H4-AH4</f>
        <v>0</v>
      </c>
      <c r="AM4" s="533"/>
      <c r="AO4" s="533">
        <f>AD4</f>
        <v>-451.67499330850575</v>
      </c>
    </row>
    <row r="5" spans="1:41" x14ac:dyDescent="0.35">
      <c r="A5" s="494">
        <v>0</v>
      </c>
      <c r="B5" s="502">
        <v>3733429</v>
      </c>
      <c r="C5" s="502">
        <v>3429</v>
      </c>
      <c r="D5" s="534" t="s">
        <v>208</v>
      </c>
      <c r="E5" s="518"/>
      <c r="F5" s="502">
        <f>VLOOKUP(B5,'[31]IR places for mainstream formul'!$A$9:$I$185,9,FALSE)</f>
        <v>14</v>
      </c>
      <c r="G5" s="502">
        <v>14</v>
      </c>
      <c r="H5" s="502">
        <v>14</v>
      </c>
      <c r="I5" s="519">
        <f t="shared" ref="I5:I18" si="10">(G5/12*5)+(H5/12*7)</f>
        <v>14.000000000000002</v>
      </c>
      <c r="J5" s="520">
        <f>VLOOKUP(C5,'[36]IR Budget 2021 22 funding rate'!C5:F19,4,FALSE)</f>
        <v>13244.468632838463</v>
      </c>
      <c r="K5" s="521">
        <f t="shared" si="0"/>
        <v>185422.5608597385</v>
      </c>
      <c r="L5" s="521">
        <f>VLOOKUP(C5,'[37]Budget Share'!$D$9:$AK$173,34,FALSE)</f>
        <v>5228.9664865153763</v>
      </c>
      <c r="M5" s="521">
        <f t="shared" ref="M5:M18" si="11">O5*L5</f>
        <v>73205.530811215271</v>
      </c>
      <c r="N5" s="521">
        <f t="shared" ref="N5:N18" si="12">I5-O5</f>
        <v>0</v>
      </c>
      <c r="O5" s="521">
        <f>VLOOKUP(C5,'[31]IR places for mainstream formul'!$D$9:$I$185,6,FALSE)</f>
        <v>14</v>
      </c>
      <c r="P5" s="520">
        <f t="shared" ref="P5:P18" si="13">O5</f>
        <v>14</v>
      </c>
      <c r="Q5" s="522">
        <f t="shared" si="1"/>
        <v>73205.530811215271</v>
      </c>
      <c r="R5" s="523">
        <f t="shared" si="2"/>
        <v>0</v>
      </c>
      <c r="S5" s="524">
        <f t="shared" si="3"/>
        <v>0</v>
      </c>
      <c r="T5" s="525">
        <f t="shared" ref="T5:T18" si="14">E5*6000</f>
        <v>0</v>
      </c>
      <c r="U5" s="524">
        <f t="shared" ref="U5:U18" si="15">(I5-E5)*6000</f>
        <v>84000.000000000015</v>
      </c>
      <c r="V5" s="524">
        <f>(I5*J5)-Q5-S5-T5-U5</f>
        <v>28217.030048523215</v>
      </c>
      <c r="W5" s="526">
        <f t="shared" si="4"/>
        <v>112217.03004852323</v>
      </c>
      <c r="X5" s="527">
        <f t="shared" ref="X5:X18" si="16">I5*J5-W5-Q5</f>
        <v>0</v>
      </c>
      <c r="Y5" s="527"/>
      <c r="Z5" s="523">
        <f t="shared" ref="Z5:Z18" si="17">L5</f>
        <v>5228.9664865153763</v>
      </c>
      <c r="AA5" s="528">
        <f t="shared" si="5"/>
        <v>185422.5608597385</v>
      </c>
      <c r="AB5" s="529">
        <f t="shared" si="6"/>
        <v>73205.530811215271</v>
      </c>
      <c r="AC5" s="529">
        <f t="shared" si="7"/>
        <v>84000.000000000015</v>
      </c>
      <c r="AD5" s="529">
        <f t="shared" si="8"/>
        <v>28217.030048523215</v>
      </c>
      <c r="AE5" s="530">
        <f t="shared" ref="AE5:AE18" si="18">SUM(AB5:AD5)</f>
        <v>185422.5608597385</v>
      </c>
      <c r="AF5" s="531">
        <f t="shared" si="9"/>
        <v>0</v>
      </c>
      <c r="AG5" s="532"/>
      <c r="AH5" s="532"/>
      <c r="AJ5" s="532"/>
      <c r="AK5" s="532"/>
      <c r="AM5" s="533">
        <f t="shared" ref="AM5:AN17" si="19">AC5</f>
        <v>84000.000000000015</v>
      </c>
      <c r="AN5" s="533">
        <f t="shared" si="19"/>
        <v>28217.030048523215</v>
      </c>
    </row>
    <row r="6" spans="1:41" x14ac:dyDescent="0.35">
      <c r="A6" s="494"/>
      <c r="B6" s="518">
        <f>'[22]Place Change Notification (PCN)'!$G$14</f>
        <v>3732274</v>
      </c>
      <c r="C6" s="502">
        <v>2274</v>
      </c>
      <c r="D6" s="534" t="s">
        <v>390</v>
      </c>
      <c r="E6" s="518">
        <v>8</v>
      </c>
      <c r="F6" s="502">
        <f>VLOOKUP(B6,'[31]IR places for mainstream formul'!$A$9:$I$185,9,FALSE)</f>
        <v>6</v>
      </c>
      <c r="G6" s="502">
        <v>8</v>
      </c>
      <c r="H6" s="502">
        <v>8</v>
      </c>
      <c r="I6" s="519">
        <f t="shared" si="10"/>
        <v>7.9999999999999991</v>
      </c>
      <c r="J6" s="520">
        <f>VLOOKUP(C6,'[36]IR Budget 2021 22 funding rate'!C6:F20,4,FALSE)</f>
        <v>13885</v>
      </c>
      <c r="K6" s="521">
        <f t="shared" si="0"/>
        <v>111079.99999999999</v>
      </c>
      <c r="L6" s="521">
        <f>VLOOKUP(C6,'[37]Budget Share'!$D$9:$AK$173,34,FALSE)</f>
        <v>4786.5247913732474</v>
      </c>
      <c r="M6" s="521">
        <f t="shared" si="11"/>
        <v>28719.148748239484</v>
      </c>
      <c r="N6" s="521">
        <f t="shared" si="12"/>
        <v>1.9999999999999991</v>
      </c>
      <c r="O6" s="521">
        <f>VLOOKUP(C6,'[31]IR places for mainstream formul'!$D$9:$I$185,6,FALSE)</f>
        <v>6</v>
      </c>
      <c r="P6" s="520">
        <f t="shared" si="13"/>
        <v>6</v>
      </c>
      <c r="Q6" s="522">
        <f t="shared" si="1"/>
        <v>28719.148748239484</v>
      </c>
      <c r="R6" s="535">
        <f>IF(P6&lt;I6,I6-P6,0)</f>
        <v>1.9999999999999991</v>
      </c>
      <c r="S6" s="524">
        <f t="shared" si="3"/>
        <v>9573.0495827464911</v>
      </c>
      <c r="T6" s="525">
        <f t="shared" si="14"/>
        <v>48000</v>
      </c>
      <c r="U6" s="524">
        <f t="shared" si="15"/>
        <v>-5.3290705182007514E-12</v>
      </c>
      <c r="V6" s="524">
        <f t="shared" ref="V6:V18" si="20">(I6*J6)-Q6-S6-T6-U6</f>
        <v>24787.80166901401</v>
      </c>
      <c r="W6" s="526">
        <f t="shared" si="4"/>
        <v>82360.851251760498</v>
      </c>
      <c r="X6" s="527">
        <f t="shared" si="16"/>
        <v>0</v>
      </c>
      <c r="Y6" s="527"/>
      <c r="Z6" s="523">
        <f t="shared" si="17"/>
        <v>4786.5247913732474</v>
      </c>
      <c r="AA6" s="528">
        <f t="shared" si="5"/>
        <v>111079.99999999999</v>
      </c>
      <c r="AB6" s="529">
        <f t="shared" si="6"/>
        <v>28719.148748239484</v>
      </c>
      <c r="AC6" s="529">
        <f t="shared" si="7"/>
        <v>57573.049582746484</v>
      </c>
      <c r="AD6" s="529">
        <f t="shared" si="8"/>
        <v>24787.80166901401</v>
      </c>
      <c r="AE6" s="530">
        <f t="shared" si="18"/>
        <v>111079.99999999997</v>
      </c>
      <c r="AF6" s="531"/>
      <c r="AG6" s="532"/>
      <c r="AH6" s="532"/>
      <c r="AJ6" s="532"/>
      <c r="AK6" s="532"/>
      <c r="AM6" s="533"/>
      <c r="AN6" s="533"/>
      <c r="AO6" s="533">
        <f t="shared" ref="AO6:AO12" si="21">AD6</f>
        <v>24787.80166901401</v>
      </c>
    </row>
    <row r="7" spans="1:41" x14ac:dyDescent="0.35">
      <c r="A7" s="494" t="s">
        <v>110</v>
      </c>
      <c r="B7" s="502">
        <v>3734276</v>
      </c>
      <c r="C7" s="502">
        <v>4276</v>
      </c>
      <c r="D7" s="534" t="s">
        <v>182</v>
      </c>
      <c r="E7" s="536">
        <f>'[22]2020 to 2021 HN Data'!$I$18</f>
        <v>23</v>
      </c>
      <c r="F7" s="502">
        <f>VLOOKUP(B7,'[31]IR places for mainstream formul'!$A$9:$I$185,9,FALSE)</f>
        <v>19</v>
      </c>
      <c r="G7" s="537">
        <v>23</v>
      </c>
      <c r="H7" s="537">
        <v>23</v>
      </c>
      <c r="I7" s="519">
        <f t="shared" si="10"/>
        <v>23</v>
      </c>
      <c r="J7" s="520">
        <f>VLOOKUP(C7,'[36]IR Budget 2021 22 funding rate'!C7:F21,4,FALSE)</f>
        <v>14067.989792167617</v>
      </c>
      <c r="K7" s="521">
        <f t="shared" si="0"/>
        <v>323563.76521985518</v>
      </c>
      <c r="L7" s="521">
        <f>VLOOKUP(C7,'[37]Budget Share'!$D$9:$AK$173,34,FALSE)</f>
        <v>5766.7966040743495</v>
      </c>
      <c r="M7" s="521">
        <f t="shared" si="11"/>
        <v>109569.13547741264</v>
      </c>
      <c r="N7" s="521">
        <f t="shared" si="12"/>
        <v>4</v>
      </c>
      <c r="O7" s="521">
        <f>VLOOKUP(C7,'[31]IR places for mainstream formul'!$D$9:$I$185,6,FALSE)</f>
        <v>19</v>
      </c>
      <c r="P7" s="520">
        <f t="shared" si="13"/>
        <v>19</v>
      </c>
      <c r="Q7" s="522">
        <f t="shared" si="1"/>
        <v>109569.13547741264</v>
      </c>
      <c r="R7" s="535">
        <f t="shared" si="2"/>
        <v>4</v>
      </c>
      <c r="S7" s="524">
        <f t="shared" si="3"/>
        <v>23067.186416297398</v>
      </c>
      <c r="T7" s="525">
        <f t="shared" si="14"/>
        <v>138000</v>
      </c>
      <c r="U7" s="524">
        <f t="shared" si="15"/>
        <v>0</v>
      </c>
      <c r="V7" s="524">
        <f t="shared" si="20"/>
        <v>52927.443326145149</v>
      </c>
      <c r="W7" s="526">
        <f t="shared" si="4"/>
        <v>213994.62974244254</v>
      </c>
      <c r="X7" s="527">
        <f t="shared" si="16"/>
        <v>0</v>
      </c>
      <c r="Y7" s="527"/>
      <c r="Z7" s="523">
        <f t="shared" si="17"/>
        <v>5766.7966040743495</v>
      </c>
      <c r="AA7" s="528">
        <f t="shared" si="5"/>
        <v>323563.76521985518</v>
      </c>
      <c r="AB7" s="529">
        <f t="shared" si="6"/>
        <v>109569.13547741264</v>
      </c>
      <c r="AC7" s="529">
        <f t="shared" si="7"/>
        <v>161067.18641629739</v>
      </c>
      <c r="AD7" s="529">
        <f t="shared" si="8"/>
        <v>52927.443326145149</v>
      </c>
      <c r="AE7" s="530">
        <f t="shared" si="18"/>
        <v>323563.76521985524</v>
      </c>
      <c r="AF7" s="531">
        <f t="shared" si="9"/>
        <v>0</v>
      </c>
      <c r="AG7" s="532">
        <v>24</v>
      </c>
      <c r="AH7" s="532">
        <v>24</v>
      </c>
      <c r="AJ7" s="532">
        <f>F7-AG7</f>
        <v>-5</v>
      </c>
      <c r="AK7" s="532">
        <f t="shared" ref="AK7:AK12" si="22">H7-AH7</f>
        <v>-1</v>
      </c>
      <c r="AM7" s="533"/>
      <c r="AO7" s="533">
        <f t="shared" si="21"/>
        <v>52927.443326145149</v>
      </c>
    </row>
    <row r="8" spans="1:41" x14ac:dyDescent="0.35">
      <c r="A8" s="494" t="s">
        <v>110</v>
      </c>
      <c r="B8" s="502">
        <v>3732323</v>
      </c>
      <c r="C8" s="502">
        <v>2323</v>
      </c>
      <c r="D8" s="534" t="s">
        <v>87</v>
      </c>
      <c r="E8" s="518">
        <f>'[22]2020 to 2021 HN Data'!$I$10</f>
        <v>12</v>
      </c>
      <c r="F8" s="502">
        <f>VLOOKUP(B8,'[31]IR places for mainstream formul'!$A$9:$I$185,9,FALSE)</f>
        <v>9</v>
      </c>
      <c r="G8" s="502">
        <v>9</v>
      </c>
      <c r="H8" s="502">
        <f>F8</f>
        <v>9</v>
      </c>
      <c r="I8" s="519">
        <f t="shared" si="10"/>
        <v>9</v>
      </c>
      <c r="J8" s="520">
        <f>VLOOKUP(C8,'[36]IR Budget 2021 22 funding rate'!C8:F22,4,FALSE)</f>
        <v>13027.443157500949</v>
      </c>
      <c r="K8" s="521">
        <f t="shared" si="0"/>
        <v>117246.98841750855</v>
      </c>
      <c r="L8" s="521">
        <f>VLOOKUP(C8,'[37]Budget Share'!$D$9:$AK$173,34,FALSE)</f>
        <v>4540.8127310574901</v>
      </c>
      <c r="M8" s="521">
        <f t="shared" si="11"/>
        <v>40867.314579517413</v>
      </c>
      <c r="N8" s="521">
        <f t="shared" si="12"/>
        <v>0</v>
      </c>
      <c r="O8" s="521">
        <f>VLOOKUP(C8,'[31]IR places for mainstream formul'!$D$9:$I$185,6,FALSE)</f>
        <v>9</v>
      </c>
      <c r="P8" s="520">
        <f t="shared" si="13"/>
        <v>9</v>
      </c>
      <c r="Q8" s="522">
        <f t="shared" si="1"/>
        <v>40867.314579517413</v>
      </c>
      <c r="R8" s="523">
        <f t="shared" si="2"/>
        <v>0</v>
      </c>
      <c r="S8" s="524">
        <f t="shared" si="3"/>
        <v>0</v>
      </c>
      <c r="T8" s="525">
        <f t="shared" si="14"/>
        <v>72000</v>
      </c>
      <c r="U8" s="524">
        <f t="shared" si="15"/>
        <v>-18000</v>
      </c>
      <c r="V8" s="524">
        <f t="shared" si="20"/>
        <v>22379.67383799114</v>
      </c>
      <c r="W8" s="526">
        <f t="shared" si="4"/>
        <v>76379.67383799114</v>
      </c>
      <c r="X8" s="527">
        <f t="shared" si="16"/>
        <v>0</v>
      </c>
      <c r="Y8" s="527"/>
      <c r="Z8" s="523">
        <f t="shared" si="17"/>
        <v>4540.8127310574901</v>
      </c>
      <c r="AA8" s="528">
        <f t="shared" si="5"/>
        <v>117246.98841750855</v>
      </c>
      <c r="AB8" s="529">
        <f t="shared" si="6"/>
        <v>40867.314579517413</v>
      </c>
      <c r="AC8" s="529">
        <f t="shared" si="7"/>
        <v>54000</v>
      </c>
      <c r="AD8" s="529">
        <f t="shared" si="8"/>
        <v>22379.67383799114</v>
      </c>
      <c r="AE8" s="530">
        <f t="shared" si="18"/>
        <v>117246.98841750855</v>
      </c>
      <c r="AF8" s="531">
        <f t="shared" si="9"/>
        <v>0</v>
      </c>
      <c r="AG8" s="532">
        <v>11</v>
      </c>
      <c r="AH8" s="532">
        <v>11</v>
      </c>
      <c r="AJ8" s="532">
        <f>F8-AG8</f>
        <v>-2</v>
      </c>
      <c r="AK8" s="532">
        <f t="shared" si="22"/>
        <v>-2</v>
      </c>
      <c r="AM8" s="533"/>
      <c r="AO8" s="533">
        <f t="shared" si="21"/>
        <v>22379.67383799114</v>
      </c>
    </row>
    <row r="9" spans="1:41" x14ac:dyDescent="0.35">
      <c r="A9" s="494" t="s">
        <v>110</v>
      </c>
      <c r="B9" s="502">
        <v>3734007</v>
      </c>
      <c r="C9" s="502">
        <v>4007</v>
      </c>
      <c r="D9" s="534" t="s">
        <v>209</v>
      </c>
      <c r="E9" s="518">
        <f>'[22]2020 to 2021 HN Data'!$I$11</f>
        <v>14</v>
      </c>
      <c r="F9" s="502">
        <f>VLOOKUP(B9,'[31]IR places for mainstream formul'!$A$9:$I$185,9,FALSE)</f>
        <v>14</v>
      </c>
      <c r="G9" s="502">
        <v>14</v>
      </c>
      <c r="H9" s="502">
        <f>F9</f>
        <v>14</v>
      </c>
      <c r="I9" s="519">
        <f t="shared" si="10"/>
        <v>14.000000000000002</v>
      </c>
      <c r="J9" s="520">
        <f>VLOOKUP(C9,'[36]IR Budget 2021 22 funding rate'!C9:F23,4,FALSE)</f>
        <v>14099.828710533764</v>
      </c>
      <c r="K9" s="521">
        <f t="shared" si="0"/>
        <v>197397.60194747272</v>
      </c>
      <c r="L9" s="521">
        <f>VLOOKUP(C9,'[37]Budget Share'!$D$9:$AK$173,34,FALSE)</f>
        <v>5456.6556668045932</v>
      </c>
      <c r="M9" s="521">
        <f t="shared" si="11"/>
        <v>76393.1793352643</v>
      </c>
      <c r="N9" s="521">
        <f t="shared" si="12"/>
        <v>0</v>
      </c>
      <c r="O9" s="521">
        <f>VLOOKUP(C9,'[31]IR places for mainstream formul'!$D$9:$I$185,6,FALSE)</f>
        <v>14</v>
      </c>
      <c r="P9" s="520">
        <f t="shared" si="13"/>
        <v>14</v>
      </c>
      <c r="Q9" s="522">
        <f t="shared" si="1"/>
        <v>76393.1793352643</v>
      </c>
      <c r="R9" s="523">
        <f t="shared" si="2"/>
        <v>0</v>
      </c>
      <c r="S9" s="524">
        <f t="shared" si="3"/>
        <v>0</v>
      </c>
      <c r="T9" s="525">
        <f t="shared" si="14"/>
        <v>84000</v>
      </c>
      <c r="U9" s="524">
        <f t="shared" si="15"/>
        <v>1.0658141036401503E-11</v>
      </c>
      <c r="V9" s="524">
        <f t="shared" si="20"/>
        <v>37004.422612208415</v>
      </c>
      <c r="W9" s="526">
        <f t="shared" si="4"/>
        <v>121004.42261220844</v>
      </c>
      <c r="X9" s="527">
        <f t="shared" si="16"/>
        <v>0</v>
      </c>
      <c r="Y9" s="527"/>
      <c r="Z9" s="523">
        <f t="shared" si="17"/>
        <v>5456.6556668045932</v>
      </c>
      <c r="AA9" s="528">
        <f t="shared" si="5"/>
        <v>197397.60194747272</v>
      </c>
      <c r="AB9" s="529">
        <f t="shared" si="6"/>
        <v>76393.1793352643</v>
      </c>
      <c r="AC9" s="529">
        <f t="shared" si="7"/>
        <v>84000.000000000015</v>
      </c>
      <c r="AD9" s="529">
        <f t="shared" si="8"/>
        <v>37004.422612208415</v>
      </c>
      <c r="AE9" s="530">
        <f t="shared" si="18"/>
        <v>197397.60194747272</v>
      </c>
      <c r="AF9" s="531">
        <f t="shared" si="9"/>
        <v>0</v>
      </c>
      <c r="AG9" s="532">
        <v>33</v>
      </c>
      <c r="AH9" s="532">
        <v>14</v>
      </c>
      <c r="AJ9" s="532">
        <f>F9-AG9</f>
        <v>-19</v>
      </c>
      <c r="AK9" s="532">
        <f t="shared" si="22"/>
        <v>0</v>
      </c>
      <c r="AM9" s="533"/>
      <c r="AO9" s="533">
        <f t="shared" si="21"/>
        <v>37004.422612208415</v>
      </c>
    </row>
    <row r="10" spans="1:41" x14ac:dyDescent="0.35">
      <c r="A10" s="494" t="s">
        <v>110</v>
      </c>
      <c r="B10" s="502">
        <v>3732010</v>
      </c>
      <c r="C10" s="502">
        <v>2010</v>
      </c>
      <c r="D10" s="534" t="s">
        <v>164</v>
      </c>
      <c r="E10" s="518">
        <f>'[22]2020 to 2021 HN Data'!$I$12</f>
        <v>18</v>
      </c>
      <c r="F10" s="502">
        <f>VLOOKUP(B10,'[31]IR places for mainstream formul'!$A$9:$I$185,9,FALSE)</f>
        <v>21</v>
      </c>
      <c r="G10" s="502">
        <v>21</v>
      </c>
      <c r="H10" s="502">
        <v>21</v>
      </c>
      <c r="I10" s="519">
        <f t="shared" si="10"/>
        <v>21</v>
      </c>
      <c r="J10" s="520">
        <f>VLOOKUP(C10,'[36]IR Budget 2021 22 funding rate'!C10:F24,4,FALSE)</f>
        <v>13884.570293051907</v>
      </c>
      <c r="K10" s="521">
        <f t="shared" si="0"/>
        <v>291575.97615409008</v>
      </c>
      <c r="L10" s="521">
        <f>VLOOKUP(C10,'[37]Budget Share'!$D$9:$AK$173,34,FALSE)</f>
        <v>5360.8964477020036</v>
      </c>
      <c r="M10" s="521">
        <f t="shared" si="11"/>
        <v>112578.82540174207</v>
      </c>
      <c r="N10" s="521">
        <f t="shared" si="12"/>
        <v>0</v>
      </c>
      <c r="O10" s="521">
        <f>VLOOKUP(C10,'[31]IR places for mainstream formul'!$D$9:$I$185,6,FALSE)</f>
        <v>21</v>
      </c>
      <c r="P10" s="520">
        <f t="shared" si="13"/>
        <v>21</v>
      </c>
      <c r="Q10" s="522">
        <f t="shared" si="1"/>
        <v>112578.82540174207</v>
      </c>
      <c r="R10" s="523">
        <f t="shared" si="2"/>
        <v>0</v>
      </c>
      <c r="S10" s="524">
        <f t="shared" si="3"/>
        <v>0</v>
      </c>
      <c r="T10" s="525">
        <f t="shared" si="14"/>
        <v>108000</v>
      </c>
      <c r="U10" s="524">
        <f t="shared" si="15"/>
        <v>18000</v>
      </c>
      <c r="V10" s="524">
        <f t="shared" si="20"/>
        <v>52997.15075234801</v>
      </c>
      <c r="W10" s="526">
        <f t="shared" si="4"/>
        <v>178997.15075234801</v>
      </c>
      <c r="X10" s="527">
        <f t="shared" si="16"/>
        <v>0</v>
      </c>
      <c r="Y10" s="527"/>
      <c r="Z10" s="523">
        <f t="shared" si="17"/>
        <v>5360.8964477020036</v>
      </c>
      <c r="AA10" s="528">
        <f t="shared" si="5"/>
        <v>291575.97615409008</v>
      </c>
      <c r="AB10" s="529">
        <f t="shared" si="6"/>
        <v>112578.82540174207</v>
      </c>
      <c r="AC10" s="529">
        <f t="shared" si="7"/>
        <v>126000</v>
      </c>
      <c r="AD10" s="529">
        <f t="shared" si="8"/>
        <v>52997.15075234801</v>
      </c>
      <c r="AE10" s="530">
        <f t="shared" si="18"/>
        <v>291575.97615409008</v>
      </c>
      <c r="AF10" s="531">
        <f t="shared" si="9"/>
        <v>0</v>
      </c>
      <c r="AG10" s="532">
        <v>16</v>
      </c>
      <c r="AH10" s="532">
        <v>18</v>
      </c>
      <c r="AJ10" s="532">
        <f>F10-AG10</f>
        <v>5</v>
      </c>
      <c r="AK10" s="532">
        <f t="shared" si="22"/>
        <v>3</v>
      </c>
      <c r="AM10" s="533"/>
      <c r="AO10" s="533">
        <f t="shared" si="21"/>
        <v>52997.15075234801</v>
      </c>
    </row>
    <row r="11" spans="1:41" x14ac:dyDescent="0.35">
      <c r="A11" s="494"/>
      <c r="B11" s="518">
        <f>'[22]Place Change Notification (PCN)'!$G$15</f>
        <v>3732337</v>
      </c>
      <c r="C11" s="502">
        <v>2337</v>
      </c>
      <c r="D11" s="534" t="str">
        <f>'[22]Place Change Notification (PCN)'!$H$15</f>
        <v>Hucklow</v>
      </c>
      <c r="E11" s="518">
        <v>10</v>
      </c>
      <c r="F11" s="502">
        <f>VLOOKUP(B11,'[31]IR places for mainstream formul'!$A$9:$I$185,9,FALSE)</f>
        <v>4</v>
      </c>
      <c r="G11" s="502">
        <v>10</v>
      </c>
      <c r="H11" s="502">
        <v>10</v>
      </c>
      <c r="I11" s="519">
        <f t="shared" si="10"/>
        <v>10</v>
      </c>
      <c r="J11" s="520">
        <f>VLOOKUP(C11,'[36]IR Budget 2021 22 funding rate'!C11:F25,4,FALSE)</f>
        <v>13885</v>
      </c>
      <c r="K11" s="521">
        <f t="shared" si="0"/>
        <v>138850</v>
      </c>
      <c r="L11" s="521">
        <f>VLOOKUP(C11,'[37]Budget Share'!$D$9:$AK$173,34,FALSE)</f>
        <v>5012.0653113794961</v>
      </c>
      <c r="M11" s="521">
        <f t="shared" si="11"/>
        <v>20048.261245517984</v>
      </c>
      <c r="N11" s="521">
        <f t="shared" si="12"/>
        <v>6</v>
      </c>
      <c r="O11" s="521">
        <f>VLOOKUP(C11,'[31]IR places for mainstream formul'!$D$9:$I$185,6,FALSE)</f>
        <v>4</v>
      </c>
      <c r="P11" s="520">
        <f t="shared" si="13"/>
        <v>4</v>
      </c>
      <c r="Q11" s="522">
        <f t="shared" si="1"/>
        <v>20048.261245517984</v>
      </c>
      <c r="R11" s="535">
        <f t="shared" si="2"/>
        <v>6</v>
      </c>
      <c r="S11" s="524">
        <f t="shared" si="3"/>
        <v>30072.391868276976</v>
      </c>
      <c r="T11" s="525">
        <f t="shared" si="14"/>
        <v>60000</v>
      </c>
      <c r="U11" s="524">
        <f t="shared" si="15"/>
        <v>0</v>
      </c>
      <c r="V11" s="524">
        <f t="shared" si="20"/>
        <v>28729.346886205036</v>
      </c>
      <c r="W11" s="526">
        <f t="shared" si="4"/>
        <v>118801.73875448201</v>
      </c>
      <c r="X11" s="527">
        <f t="shared" si="16"/>
        <v>0</v>
      </c>
      <c r="Y11" s="527"/>
      <c r="Z11" s="523">
        <f t="shared" si="17"/>
        <v>5012.0653113794961</v>
      </c>
      <c r="AA11" s="528">
        <f t="shared" si="5"/>
        <v>138850</v>
      </c>
      <c r="AB11" s="529">
        <f t="shared" si="6"/>
        <v>20048.261245517984</v>
      </c>
      <c r="AC11" s="529">
        <f t="shared" si="7"/>
        <v>90072.391868276973</v>
      </c>
      <c r="AD11" s="529">
        <f t="shared" si="8"/>
        <v>28729.346886205036</v>
      </c>
      <c r="AE11" s="530">
        <f t="shared" si="18"/>
        <v>138850</v>
      </c>
      <c r="AF11" s="531"/>
      <c r="AG11" s="532"/>
      <c r="AH11" s="532"/>
      <c r="AJ11" s="532"/>
      <c r="AK11" s="532"/>
      <c r="AM11" s="533"/>
      <c r="AO11" s="533">
        <f t="shared" si="21"/>
        <v>28729.346886205036</v>
      </c>
    </row>
    <row r="12" spans="1:41" x14ac:dyDescent="0.35">
      <c r="A12" s="494" t="s">
        <v>110</v>
      </c>
      <c r="B12" s="502">
        <v>3734230</v>
      </c>
      <c r="C12" s="502">
        <v>4230</v>
      </c>
      <c r="D12" s="534" t="s">
        <v>71</v>
      </c>
      <c r="E12" s="518">
        <f>'[22]2020 to 2021 HN Data'!$I$13</f>
        <v>24</v>
      </c>
      <c r="F12" s="502">
        <f>VLOOKUP(B12,'[31]IR places for mainstream formul'!$A$9:$I$185,9,FALSE)</f>
        <v>29</v>
      </c>
      <c r="G12" s="502">
        <v>29</v>
      </c>
      <c r="H12" s="502">
        <v>24</v>
      </c>
      <c r="I12" s="519">
        <f t="shared" si="10"/>
        <v>26.083333333333332</v>
      </c>
      <c r="J12" s="520">
        <f>VLOOKUP(C12,'[36]IR Budget 2021 22 funding rate'!C12:F26,4,FALSE)</f>
        <v>14078.945641099554</v>
      </c>
      <c r="K12" s="521">
        <f t="shared" si="0"/>
        <v>367225.83213867998</v>
      </c>
      <c r="L12" s="521">
        <f>VLOOKUP(C12,'[37]Budget Share'!$D$9:$AK$173,34,FALSE)</f>
        <v>6011.3794970159015</v>
      </c>
      <c r="M12" s="521">
        <f t="shared" si="11"/>
        <v>174330.00541346116</v>
      </c>
      <c r="N12" s="521">
        <f t="shared" si="12"/>
        <v>-2.9166666666666679</v>
      </c>
      <c r="O12" s="521">
        <f>VLOOKUP(C12,'[31]IR places for mainstream formul'!$D$9:$I$185,6,FALSE)</f>
        <v>29</v>
      </c>
      <c r="P12" s="520">
        <f t="shared" si="13"/>
        <v>29</v>
      </c>
      <c r="Q12" s="522">
        <f t="shared" si="1"/>
        <v>174330.00541346116</v>
      </c>
      <c r="R12" s="523">
        <f t="shared" si="2"/>
        <v>0</v>
      </c>
      <c r="S12" s="524">
        <f t="shared" si="3"/>
        <v>0</v>
      </c>
      <c r="T12" s="525">
        <f t="shared" si="14"/>
        <v>144000</v>
      </c>
      <c r="U12" s="524">
        <f t="shared" si="15"/>
        <v>12499.999999999993</v>
      </c>
      <c r="V12" s="524">
        <f t="shared" si="20"/>
        <v>36395.826725218831</v>
      </c>
      <c r="W12" s="526">
        <f t="shared" si="4"/>
        <v>192895.82672521882</v>
      </c>
      <c r="X12" s="527">
        <f t="shared" si="16"/>
        <v>0</v>
      </c>
      <c r="Y12" s="527"/>
      <c r="Z12" s="523">
        <f t="shared" si="17"/>
        <v>6011.3794970159015</v>
      </c>
      <c r="AA12" s="528">
        <f t="shared" si="5"/>
        <v>367225.83213867998</v>
      </c>
      <c r="AB12" s="529">
        <f t="shared" si="6"/>
        <v>174330.00541346116</v>
      </c>
      <c r="AC12" s="529">
        <f t="shared" si="7"/>
        <v>156500</v>
      </c>
      <c r="AD12" s="529">
        <f t="shared" si="8"/>
        <v>36395.826725218831</v>
      </c>
      <c r="AE12" s="530">
        <f t="shared" si="18"/>
        <v>367225.83213867998</v>
      </c>
      <c r="AF12" s="531">
        <f t="shared" si="9"/>
        <v>0</v>
      </c>
      <c r="AG12" s="532">
        <v>28</v>
      </c>
      <c r="AH12" s="532">
        <v>24</v>
      </c>
      <c r="AJ12" s="532">
        <f>F12-AG12</f>
        <v>1</v>
      </c>
      <c r="AK12" s="532">
        <f t="shared" si="22"/>
        <v>0</v>
      </c>
      <c r="AM12" s="533"/>
      <c r="AO12" s="533">
        <f t="shared" si="21"/>
        <v>36395.826725218831</v>
      </c>
    </row>
    <row r="13" spans="1:41" x14ac:dyDescent="0.35">
      <c r="A13" s="494">
        <v>0</v>
      </c>
      <c r="B13" s="502">
        <v>3732087</v>
      </c>
      <c r="C13" s="502">
        <v>2087</v>
      </c>
      <c r="D13" s="534" t="s">
        <v>210</v>
      </c>
      <c r="E13" s="518"/>
      <c r="F13" s="502">
        <f>VLOOKUP(B13,'[31]IR places for mainstream formul'!$A$9:$I$185,9,FALSE)</f>
        <v>16</v>
      </c>
      <c r="G13" s="502">
        <v>16</v>
      </c>
      <c r="H13" s="502">
        <v>16</v>
      </c>
      <c r="I13" s="519">
        <f t="shared" si="10"/>
        <v>15.999999999999998</v>
      </c>
      <c r="J13" s="520">
        <f>VLOOKUP(C13,'[36]IR Budget 2021 22 funding rate'!C13:F27,4,FALSE)</f>
        <v>13027.443157500948</v>
      </c>
      <c r="K13" s="521">
        <f t="shared" si="0"/>
        <v>208439.09052001513</v>
      </c>
      <c r="L13" s="521">
        <f>VLOOKUP(C13,'[37]Budget Share'!$D$9:$AK$173,34,FALSE)</f>
        <v>4236.3716577540117</v>
      </c>
      <c r="M13" s="521">
        <f t="shared" si="11"/>
        <v>67781.946524064188</v>
      </c>
      <c r="N13" s="521">
        <f t="shared" si="12"/>
        <v>0</v>
      </c>
      <c r="O13" s="521">
        <f>VLOOKUP(C13,'[31]IR places for mainstream formul'!$D$9:$I$185,6,FALSE)</f>
        <v>16</v>
      </c>
      <c r="P13" s="520">
        <f t="shared" si="13"/>
        <v>16</v>
      </c>
      <c r="Q13" s="522">
        <f t="shared" si="1"/>
        <v>67781.946524064188</v>
      </c>
      <c r="R13" s="523">
        <f t="shared" si="2"/>
        <v>0</v>
      </c>
      <c r="S13" s="524">
        <f t="shared" si="3"/>
        <v>0</v>
      </c>
      <c r="T13" s="525">
        <f t="shared" si="14"/>
        <v>0</v>
      </c>
      <c r="U13" s="524">
        <f t="shared" si="15"/>
        <v>95999.999999999985</v>
      </c>
      <c r="V13" s="524">
        <f t="shared" si="20"/>
        <v>44657.143995950944</v>
      </c>
      <c r="W13" s="526">
        <f t="shared" si="4"/>
        <v>140657.14399595093</v>
      </c>
      <c r="X13" s="527">
        <f t="shared" si="16"/>
        <v>0</v>
      </c>
      <c r="Y13" s="527"/>
      <c r="Z13" s="523">
        <f t="shared" si="17"/>
        <v>4236.3716577540117</v>
      </c>
      <c r="AA13" s="528">
        <f t="shared" si="5"/>
        <v>208439.0905200151</v>
      </c>
      <c r="AB13" s="529">
        <f t="shared" si="6"/>
        <v>67781.946524064188</v>
      </c>
      <c r="AC13" s="529">
        <f t="shared" si="7"/>
        <v>95999.999999999985</v>
      </c>
      <c r="AD13" s="529">
        <f t="shared" si="8"/>
        <v>44657.143995950944</v>
      </c>
      <c r="AE13" s="530">
        <f t="shared" si="18"/>
        <v>208439.0905200151</v>
      </c>
      <c r="AF13" s="531">
        <f t="shared" si="9"/>
        <v>0</v>
      </c>
      <c r="AG13" s="532"/>
      <c r="AH13" s="532"/>
      <c r="AJ13" s="532"/>
      <c r="AK13" s="532"/>
      <c r="AM13" s="533">
        <f t="shared" si="19"/>
        <v>95999.999999999985</v>
      </c>
      <c r="AN13" s="533">
        <f t="shared" si="19"/>
        <v>44657.143995950944</v>
      </c>
    </row>
    <row r="14" spans="1:41" x14ac:dyDescent="0.35">
      <c r="A14" s="494">
        <v>0</v>
      </c>
      <c r="B14" s="502">
        <v>3732309</v>
      </c>
      <c r="C14" s="502">
        <v>2309</v>
      </c>
      <c r="D14" s="534" t="s">
        <v>211</v>
      </c>
      <c r="E14" s="518"/>
      <c r="F14" s="502">
        <f>VLOOKUP(B14,'[31]IR places for mainstream formul'!$A$9:$I$185,9,FALSE)</f>
        <v>12</v>
      </c>
      <c r="G14" s="502">
        <v>12</v>
      </c>
      <c r="H14" s="502">
        <f>F14</f>
        <v>12</v>
      </c>
      <c r="I14" s="519">
        <f t="shared" si="10"/>
        <v>12</v>
      </c>
      <c r="J14" s="538">
        <f>'[38]IR Budget 2021 22 funding rate'!J14</f>
        <v>14525</v>
      </c>
      <c r="K14" s="521">
        <f t="shared" si="0"/>
        <v>174300</v>
      </c>
      <c r="L14" s="521">
        <f>VLOOKUP(C14,'[37]Budget Share'!$D$9:$AK$173,34,FALSE)</f>
        <v>4325.9004769573694</v>
      </c>
      <c r="M14" s="521">
        <f t="shared" si="11"/>
        <v>51910.805723488433</v>
      </c>
      <c r="N14" s="521">
        <f t="shared" si="12"/>
        <v>0</v>
      </c>
      <c r="O14" s="521">
        <f>VLOOKUP(C14,'[31]IR places for mainstream formul'!$D$9:$I$185,6,FALSE)</f>
        <v>12</v>
      </c>
      <c r="P14" s="520">
        <f t="shared" si="13"/>
        <v>12</v>
      </c>
      <c r="Q14" s="522">
        <f t="shared" si="1"/>
        <v>51910.805723488433</v>
      </c>
      <c r="R14" s="523">
        <f t="shared" si="2"/>
        <v>0</v>
      </c>
      <c r="S14" s="524">
        <f t="shared" si="3"/>
        <v>0</v>
      </c>
      <c r="T14" s="525">
        <f t="shared" si="14"/>
        <v>0</v>
      </c>
      <c r="U14" s="524">
        <f t="shared" si="15"/>
        <v>72000</v>
      </c>
      <c r="V14" s="524">
        <f t="shared" si="20"/>
        <v>50389.194276511567</v>
      </c>
      <c r="W14" s="526">
        <f t="shared" si="4"/>
        <v>122389.19427651157</v>
      </c>
      <c r="X14" s="527">
        <f t="shared" si="16"/>
        <v>0</v>
      </c>
      <c r="Y14" s="527"/>
      <c r="Z14" s="523">
        <f t="shared" si="17"/>
        <v>4325.9004769573694</v>
      </c>
      <c r="AA14" s="528">
        <f t="shared" si="5"/>
        <v>174300</v>
      </c>
      <c r="AB14" s="529">
        <f t="shared" si="6"/>
        <v>51910.805723488433</v>
      </c>
      <c r="AC14" s="529">
        <f t="shared" si="7"/>
        <v>72000</v>
      </c>
      <c r="AD14" s="529">
        <f t="shared" si="8"/>
        <v>50389.194276511567</v>
      </c>
      <c r="AE14" s="530">
        <f t="shared" si="18"/>
        <v>174300</v>
      </c>
      <c r="AF14" s="531">
        <f t="shared" si="9"/>
        <v>0</v>
      </c>
      <c r="AG14" s="532"/>
      <c r="AH14" s="532"/>
      <c r="AJ14" s="532"/>
      <c r="AK14" s="532"/>
      <c r="AM14" s="533">
        <f t="shared" si="19"/>
        <v>72000</v>
      </c>
      <c r="AN14" s="533">
        <f t="shared" si="19"/>
        <v>50389.194276511567</v>
      </c>
    </row>
    <row r="15" spans="1:41" x14ac:dyDescent="0.35">
      <c r="A15" s="494" t="s">
        <v>110</v>
      </c>
      <c r="B15" s="502">
        <v>3733414</v>
      </c>
      <c r="C15" s="502">
        <v>3414</v>
      </c>
      <c r="D15" s="534" t="s">
        <v>212</v>
      </c>
      <c r="E15" s="518">
        <f>'[22]2020 to 2021 HN Data'!$I$17</f>
        <v>18</v>
      </c>
      <c r="F15" s="502">
        <f>VLOOKUP(B15,'[31]IR places for mainstream formul'!$A$9:$I$185,9,FALSE)</f>
        <v>15</v>
      </c>
      <c r="G15" s="502">
        <v>18</v>
      </c>
      <c r="H15" s="502">
        <v>18</v>
      </c>
      <c r="I15" s="519">
        <f t="shared" si="10"/>
        <v>18</v>
      </c>
      <c r="J15" s="520">
        <f>VLOOKUP(C15,'[36]IR Budget 2021 22 funding rate'!C15:F29,4,FALSE)</f>
        <v>13027.76</v>
      </c>
      <c r="K15" s="521">
        <f t="shared" si="0"/>
        <v>234499.68</v>
      </c>
      <c r="L15" s="521">
        <f>VLOOKUP(C15,'[37]Budget Share'!$D$9:$AK$173,34,FALSE)</f>
        <v>4360.3298112930797</v>
      </c>
      <c r="M15" s="521">
        <f t="shared" si="11"/>
        <v>65404.947169396197</v>
      </c>
      <c r="N15" s="521">
        <f t="shared" si="12"/>
        <v>3</v>
      </c>
      <c r="O15" s="521">
        <f>VLOOKUP(C15,'[31]IR places for mainstream formul'!$D$9:$I$185,6,FALSE)</f>
        <v>15</v>
      </c>
      <c r="P15" s="520">
        <f t="shared" si="13"/>
        <v>15</v>
      </c>
      <c r="Q15" s="522">
        <f t="shared" si="1"/>
        <v>65404.947169396197</v>
      </c>
      <c r="R15" s="535">
        <f t="shared" si="2"/>
        <v>3</v>
      </c>
      <c r="S15" s="524">
        <f t="shared" si="3"/>
        <v>13080.98943387924</v>
      </c>
      <c r="T15" s="525">
        <f t="shared" si="14"/>
        <v>108000</v>
      </c>
      <c r="U15" s="524">
        <f t="shared" si="15"/>
        <v>0</v>
      </c>
      <c r="V15" s="524">
        <f t="shared" si="20"/>
        <v>48013.743396724545</v>
      </c>
      <c r="W15" s="526">
        <f t="shared" si="4"/>
        <v>169094.73283060378</v>
      </c>
      <c r="X15" s="527">
        <f t="shared" si="16"/>
        <v>0</v>
      </c>
      <c r="Y15" s="527"/>
      <c r="Z15" s="523">
        <f t="shared" si="17"/>
        <v>4360.3298112930797</v>
      </c>
      <c r="AA15" s="528">
        <f t="shared" si="5"/>
        <v>234499.68</v>
      </c>
      <c r="AB15" s="529">
        <f t="shared" si="6"/>
        <v>65404.947169396197</v>
      </c>
      <c r="AC15" s="529">
        <f t="shared" si="7"/>
        <v>121080.98943387924</v>
      </c>
      <c r="AD15" s="529">
        <f t="shared" si="8"/>
        <v>48013.743396724545</v>
      </c>
      <c r="AE15" s="530">
        <f t="shared" si="18"/>
        <v>234499.67999999996</v>
      </c>
      <c r="AF15" s="531">
        <f t="shared" si="9"/>
        <v>0</v>
      </c>
      <c r="AG15" s="532">
        <v>9</v>
      </c>
      <c r="AH15" s="532">
        <v>5</v>
      </c>
      <c r="AJ15" s="532">
        <f>F15-AG15</f>
        <v>6</v>
      </c>
      <c r="AK15" s="532">
        <f>H15-AH15</f>
        <v>13</v>
      </c>
      <c r="AM15" s="533"/>
      <c r="AO15" s="533">
        <f>AD15</f>
        <v>48013.743396724545</v>
      </c>
    </row>
    <row r="16" spans="1:41" x14ac:dyDescent="0.35">
      <c r="A16" s="494">
        <v>0</v>
      </c>
      <c r="B16" s="502">
        <v>3732350</v>
      </c>
      <c r="C16" s="502">
        <v>2350</v>
      </c>
      <c r="D16" s="534" t="s">
        <v>37</v>
      </c>
      <c r="E16" s="502"/>
      <c r="F16" s="502">
        <f>VLOOKUP(B16,'[31]IR places for mainstream formul'!$A$9:$I$185,9,FALSE)</f>
        <v>23</v>
      </c>
      <c r="G16" s="502">
        <v>23</v>
      </c>
      <c r="H16" s="502">
        <f>F16</f>
        <v>23</v>
      </c>
      <c r="I16" s="519">
        <f t="shared" si="10"/>
        <v>23</v>
      </c>
      <c r="J16" s="520">
        <f>VLOOKUP(C16,'[36]IR Budget 2021 22 funding rate'!C16:F30,4,FALSE)</f>
        <v>13027.443157500949</v>
      </c>
      <c r="K16" s="521">
        <f t="shared" si="0"/>
        <v>299631.19262252183</v>
      </c>
      <c r="L16" s="521">
        <f>VLOOKUP(C16,'[37]Budget Share'!$D$9:$AK$173,34,FALSE)</f>
        <v>4797.2219228464583</v>
      </c>
      <c r="M16" s="521">
        <f t="shared" si="11"/>
        <v>110336.10422546855</v>
      </c>
      <c r="N16" s="521">
        <f t="shared" si="12"/>
        <v>0</v>
      </c>
      <c r="O16" s="521">
        <f>VLOOKUP(C16,'[31]IR places for mainstream formul'!$D$9:$I$185,6,FALSE)</f>
        <v>23</v>
      </c>
      <c r="P16" s="520">
        <f t="shared" si="13"/>
        <v>23</v>
      </c>
      <c r="Q16" s="522">
        <f t="shared" si="1"/>
        <v>110336.10422546855</v>
      </c>
      <c r="R16" s="523">
        <f t="shared" si="2"/>
        <v>0</v>
      </c>
      <c r="S16" s="524">
        <f t="shared" si="3"/>
        <v>0</v>
      </c>
      <c r="T16" s="525">
        <f t="shared" si="14"/>
        <v>0</v>
      </c>
      <c r="U16" s="524">
        <f t="shared" si="15"/>
        <v>138000</v>
      </c>
      <c r="V16" s="524">
        <f t="shared" si="20"/>
        <v>51295.088397053303</v>
      </c>
      <c r="W16" s="526">
        <f t="shared" si="4"/>
        <v>189295.0883970533</v>
      </c>
      <c r="X16" s="527">
        <f t="shared" si="16"/>
        <v>0</v>
      </c>
      <c r="Y16" s="527"/>
      <c r="Z16" s="523">
        <f t="shared" si="17"/>
        <v>4797.2219228464583</v>
      </c>
      <c r="AA16" s="528">
        <f t="shared" si="5"/>
        <v>299631.19262252183</v>
      </c>
      <c r="AB16" s="529">
        <f t="shared" si="6"/>
        <v>110336.10422546855</v>
      </c>
      <c r="AC16" s="529">
        <f t="shared" si="7"/>
        <v>138000</v>
      </c>
      <c r="AD16" s="529">
        <f t="shared" si="8"/>
        <v>51295.088397053303</v>
      </c>
      <c r="AE16" s="530">
        <f t="shared" si="18"/>
        <v>299631.19262252183</v>
      </c>
      <c r="AF16" s="531">
        <f t="shared" si="9"/>
        <v>0</v>
      </c>
      <c r="AG16" s="532"/>
      <c r="AH16" s="532"/>
      <c r="AJ16" s="532"/>
      <c r="AK16" s="532"/>
      <c r="AM16" s="533">
        <f t="shared" si="19"/>
        <v>138000</v>
      </c>
      <c r="AN16" s="533">
        <f t="shared" si="19"/>
        <v>51295.088397053303</v>
      </c>
    </row>
    <row r="17" spans="1:41" x14ac:dyDescent="0.35">
      <c r="A17" s="494">
        <v>0</v>
      </c>
      <c r="B17" s="502">
        <v>3732311</v>
      </c>
      <c r="C17" s="502">
        <v>2311</v>
      </c>
      <c r="D17" s="534" t="s">
        <v>213</v>
      </c>
      <c r="E17" s="539">
        <f>'[22]2020 to 2021 HN Data'!$I$20</f>
        <v>22</v>
      </c>
      <c r="F17" s="502">
        <f>VLOOKUP(B17,'[31]IR places for mainstream formul'!$A$9:$I$185,9,FALSE)</f>
        <v>18</v>
      </c>
      <c r="G17" s="502">
        <v>22</v>
      </c>
      <c r="H17" s="502">
        <v>22</v>
      </c>
      <c r="I17" s="519">
        <f t="shared" si="10"/>
        <v>22</v>
      </c>
      <c r="J17" s="520">
        <f>VLOOKUP(C17,'[36]IR Budget 2021 22 funding rate'!C17:F31,4,FALSE)</f>
        <v>13601.976762880062</v>
      </c>
      <c r="K17" s="521">
        <f t="shared" si="0"/>
        <v>299243.48878336139</v>
      </c>
      <c r="L17" s="521">
        <f>VLOOKUP(C17,'[37]Budget Share'!$D$9:$AK$173,34,FALSE)</f>
        <v>5043.3822956890317</v>
      </c>
      <c r="M17" s="521">
        <f t="shared" si="11"/>
        <v>90780.881322402565</v>
      </c>
      <c r="N17" s="521">
        <f t="shared" si="12"/>
        <v>4</v>
      </c>
      <c r="O17" s="521">
        <f>VLOOKUP(C17,'[31]IR places for mainstream formul'!$D$9:$I$185,6,FALSE)</f>
        <v>18</v>
      </c>
      <c r="P17" s="520">
        <f t="shared" si="13"/>
        <v>18</v>
      </c>
      <c r="Q17" s="522">
        <f t="shared" si="1"/>
        <v>90780.881322402565</v>
      </c>
      <c r="R17" s="535">
        <f t="shared" si="2"/>
        <v>4</v>
      </c>
      <c r="S17" s="524">
        <f t="shared" si="3"/>
        <v>20173.529182756127</v>
      </c>
      <c r="T17" s="525">
        <f t="shared" si="14"/>
        <v>132000</v>
      </c>
      <c r="U17" s="524">
        <f t="shared" si="15"/>
        <v>0</v>
      </c>
      <c r="V17" s="524">
        <f t="shared" si="20"/>
        <v>56289.078278202709</v>
      </c>
      <c r="W17" s="526">
        <f t="shared" si="4"/>
        <v>208462.60746095882</v>
      </c>
      <c r="X17" s="527">
        <f t="shared" si="16"/>
        <v>0</v>
      </c>
      <c r="Y17" s="527"/>
      <c r="Z17" s="523">
        <f t="shared" si="17"/>
        <v>5043.3822956890317</v>
      </c>
      <c r="AA17" s="528">
        <f t="shared" si="5"/>
        <v>299243.48878336139</v>
      </c>
      <c r="AB17" s="529">
        <f t="shared" si="6"/>
        <v>90780.881322402565</v>
      </c>
      <c r="AC17" s="529">
        <f t="shared" si="7"/>
        <v>152173.52918275612</v>
      </c>
      <c r="AD17" s="529">
        <f t="shared" si="8"/>
        <v>56289.078278202709</v>
      </c>
      <c r="AE17" s="530">
        <f t="shared" si="18"/>
        <v>299243.48878336139</v>
      </c>
      <c r="AF17" s="531">
        <f t="shared" si="9"/>
        <v>0</v>
      </c>
      <c r="AG17" s="532"/>
      <c r="AH17" s="532"/>
      <c r="AJ17" s="532"/>
      <c r="AK17" s="532"/>
      <c r="AM17" s="533">
        <f t="shared" si="19"/>
        <v>152173.52918275612</v>
      </c>
      <c r="AN17" s="533">
        <f t="shared" si="19"/>
        <v>56289.078278202709</v>
      </c>
    </row>
    <row r="18" spans="1:41" x14ac:dyDescent="0.35">
      <c r="A18" s="494"/>
      <c r="B18" s="540">
        <f>'[22]Place Change Notification (PCN)'!$G$16</f>
        <v>3732040</v>
      </c>
      <c r="C18" s="498">
        <v>2040</v>
      </c>
      <c r="D18" s="534" t="str">
        <f>'[22]Place Change Notification (PCN)'!$H$16</f>
        <v>Whiteways</v>
      </c>
      <c r="E18" s="541">
        <v>12</v>
      </c>
      <c r="F18" s="502">
        <f>VLOOKUP(B18,'[31]IR places for mainstream formul'!$A$9:$I$185,9,FALSE)</f>
        <v>5</v>
      </c>
      <c r="G18" s="542">
        <v>12</v>
      </c>
      <c r="H18" s="542">
        <v>12</v>
      </c>
      <c r="I18" s="519">
        <f t="shared" si="10"/>
        <v>12</v>
      </c>
      <c r="J18" s="520">
        <f>VLOOKUP(C18,'[36]IR Budget 2021 22 funding rate'!C18:F32,4,FALSE)</f>
        <v>13885</v>
      </c>
      <c r="K18" s="521">
        <f t="shared" si="0"/>
        <v>166620</v>
      </c>
      <c r="L18" s="521">
        <f>VLOOKUP(C18,'[37]Budget Share'!$D$9:$AK$173,34,FALSE)</f>
        <v>5127.8263418609122</v>
      </c>
      <c r="M18" s="521">
        <f t="shared" si="11"/>
        <v>25639.131709304562</v>
      </c>
      <c r="N18" s="521">
        <f t="shared" si="12"/>
        <v>7</v>
      </c>
      <c r="O18" s="521">
        <f>VLOOKUP(C18,'[31]IR places for mainstream formul'!$D$9:$I$185,6,FALSE)</f>
        <v>5</v>
      </c>
      <c r="P18" s="520">
        <f t="shared" si="13"/>
        <v>5</v>
      </c>
      <c r="Q18" s="522">
        <f t="shared" si="1"/>
        <v>25639.131709304562</v>
      </c>
      <c r="R18" s="535">
        <f t="shared" si="2"/>
        <v>7</v>
      </c>
      <c r="S18" s="524">
        <f t="shared" si="3"/>
        <v>35894.784393026384</v>
      </c>
      <c r="T18" s="525">
        <f t="shared" si="14"/>
        <v>72000</v>
      </c>
      <c r="U18" s="524">
        <f t="shared" si="15"/>
        <v>0</v>
      </c>
      <c r="V18" s="524">
        <f t="shared" si="20"/>
        <v>33086.083897669072</v>
      </c>
      <c r="W18" s="526">
        <f t="shared" si="4"/>
        <v>140980.86829069545</v>
      </c>
      <c r="X18" s="527">
        <f t="shared" si="16"/>
        <v>0</v>
      </c>
      <c r="Y18" s="527"/>
      <c r="Z18" s="523">
        <f t="shared" si="17"/>
        <v>5127.8263418609122</v>
      </c>
      <c r="AA18" s="528">
        <f t="shared" si="5"/>
        <v>166620</v>
      </c>
      <c r="AB18" s="529">
        <f t="shared" si="6"/>
        <v>25639.131709304562</v>
      </c>
      <c r="AC18" s="529">
        <f t="shared" si="7"/>
        <v>107894.78439302638</v>
      </c>
      <c r="AD18" s="529">
        <f t="shared" si="8"/>
        <v>33086.083897669072</v>
      </c>
      <c r="AE18" s="530">
        <f t="shared" si="18"/>
        <v>166620</v>
      </c>
      <c r="AF18" s="531"/>
      <c r="AG18" s="532"/>
      <c r="AH18" s="532"/>
      <c r="AJ18" s="532"/>
      <c r="AK18" s="532"/>
      <c r="AM18" s="533"/>
      <c r="AN18" s="533"/>
      <c r="AO18" s="533">
        <f>AD18</f>
        <v>33086.083897669072</v>
      </c>
    </row>
    <row r="19" spans="1:41" ht="15.5" x14ac:dyDescent="0.35">
      <c r="A19" s="494"/>
      <c r="B19" s="498"/>
      <c r="C19" s="498"/>
      <c r="D19" s="543" t="s">
        <v>214</v>
      </c>
      <c r="E19" s="544">
        <f>SUM(E4:E18)</f>
        <v>165</v>
      </c>
      <c r="F19" s="544">
        <f t="shared" ref="F19:I19" si="23">SUM(F4:F18)</f>
        <v>209</v>
      </c>
      <c r="G19" s="544">
        <f t="shared" si="23"/>
        <v>235</v>
      </c>
      <c r="H19" s="544">
        <f t="shared" si="23"/>
        <v>230</v>
      </c>
      <c r="I19" s="544">
        <f t="shared" si="23"/>
        <v>232.08333333333334</v>
      </c>
      <c r="J19" s="545"/>
      <c r="K19" s="546">
        <f>SUM(K4:K18)</f>
        <v>3161553.2874818197</v>
      </c>
      <c r="L19" s="547"/>
      <c r="M19" s="547">
        <f>SUM(M4:M18)</f>
        <v>1070474.0034983796</v>
      </c>
      <c r="N19" s="547">
        <f t="shared" ref="N19:O19" si="24">SUM(N4:N18)</f>
        <v>23.083333333333332</v>
      </c>
      <c r="O19" s="547">
        <f t="shared" si="24"/>
        <v>209</v>
      </c>
      <c r="P19" s="548">
        <f>SUM(P4:P18)</f>
        <v>209</v>
      </c>
      <c r="Q19" s="548">
        <f>SUM(Q4:Q18)</f>
        <v>1070474.0034983796</v>
      </c>
      <c r="R19" s="526">
        <f>SUM(R4:R18)</f>
        <v>26</v>
      </c>
      <c r="S19" s="526">
        <f t="shared" ref="S19:W19" si="25">SUM(S4:S18)</f>
        <v>131861.93087698263</v>
      </c>
      <c r="T19" s="549">
        <f t="shared" si="25"/>
        <v>990000</v>
      </c>
      <c r="U19" s="526">
        <f t="shared" si="25"/>
        <v>402500</v>
      </c>
      <c r="V19" s="526">
        <f t="shared" si="25"/>
        <v>566717.35310645739</v>
      </c>
      <c r="W19" s="526">
        <f t="shared" si="25"/>
        <v>2091079.2839834401</v>
      </c>
      <c r="X19" s="527"/>
      <c r="Y19" s="530"/>
      <c r="Z19" s="550">
        <f>Q19/P19</f>
        <v>5121.8851842027734</v>
      </c>
      <c r="AA19" s="528">
        <f t="shared" ref="AA19:AE19" si="26">SUM(AA4:AA18)</f>
        <v>3161553.2874818197</v>
      </c>
      <c r="AB19" s="550">
        <f t="shared" si="26"/>
        <v>1070474.0034983796</v>
      </c>
      <c r="AC19" s="526">
        <f t="shared" si="26"/>
        <v>1524361.9308769824</v>
      </c>
      <c r="AD19" s="551">
        <f t="shared" si="26"/>
        <v>566717.35310645739</v>
      </c>
      <c r="AE19" s="550">
        <f t="shared" si="26"/>
        <v>3161553.2874818197</v>
      </c>
      <c r="AF19" s="531">
        <f t="shared" si="9"/>
        <v>0</v>
      </c>
      <c r="AG19" s="552">
        <f>SUM(AG4:AG17)</f>
        <v>127</v>
      </c>
      <c r="AH19" s="552">
        <f>SUM(AH4:AH17)</f>
        <v>100</v>
      </c>
      <c r="AJ19" s="552">
        <f>SUM(AJ4:AJ17)</f>
        <v>-16</v>
      </c>
      <c r="AK19" s="552">
        <f>SUM(AK4:AK17)</f>
        <v>13</v>
      </c>
      <c r="AM19" s="553">
        <f t="shared" ref="AM19:AO19" si="27">SUM(AM4:AM18)</f>
        <v>542173.52918275609</v>
      </c>
      <c r="AN19" s="554">
        <f t="shared" si="27"/>
        <v>230847.53499624174</v>
      </c>
      <c r="AO19" s="554">
        <f t="shared" si="27"/>
        <v>335869.81811021571</v>
      </c>
    </row>
    <row r="20" spans="1:41" x14ac:dyDescent="0.35">
      <c r="A20" s="494"/>
      <c r="B20" s="494"/>
      <c r="C20" s="494"/>
      <c r="D20" s="494"/>
      <c r="E20" s="494"/>
      <c r="F20" s="494"/>
      <c r="G20" s="494"/>
      <c r="H20" s="494"/>
      <c r="I20" s="494"/>
      <c r="J20" s="498"/>
      <c r="K20" s="498"/>
      <c r="L20" s="498"/>
      <c r="M20" s="498"/>
      <c r="N20" s="498"/>
      <c r="O20" s="498"/>
      <c r="P20" s="555" t="e">
        <f>#REF!-P19</f>
        <v>#REF!</v>
      </c>
      <c r="Q20" s="498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41" hidden="1" x14ac:dyDescent="0.35">
      <c r="F21" s="527">
        <f>F5+F13+F14+F16+F17</f>
        <v>83</v>
      </c>
      <c r="G21" s="527"/>
      <c r="H21" s="527">
        <f>H5+H13+H14+H16+H17</f>
        <v>87</v>
      </c>
      <c r="I21" s="527">
        <f>I5+I13+I14+I16+I17</f>
        <v>87</v>
      </c>
      <c r="J21" s="556"/>
      <c r="K21" s="556"/>
      <c r="L21" s="556"/>
      <c r="M21" s="556"/>
      <c r="N21" s="556"/>
      <c r="O21" s="556"/>
      <c r="P21" s="556"/>
      <c r="Q21" s="556"/>
      <c r="R21" s="527"/>
      <c r="S21" s="529"/>
      <c r="T21" s="529">
        <f>T5+T13+T14+T16+T17</f>
        <v>132000</v>
      </c>
      <c r="U21" s="529"/>
      <c r="V21" s="529"/>
      <c r="W21" s="529">
        <f>W5+W13+W14+W16+W17</f>
        <v>773021.06417899788</v>
      </c>
    </row>
    <row r="22" spans="1:41" hidden="1" x14ac:dyDescent="0.35">
      <c r="F22" s="527">
        <f>F4+F7+F8+F9+F10+F12+F15</f>
        <v>111</v>
      </c>
      <c r="G22" s="527"/>
      <c r="H22" s="527">
        <f>H4+H7+H8+H9+H10+H12+H15</f>
        <v>113</v>
      </c>
      <c r="I22" s="527">
        <f>I4+I7+I8+I9+I10+I12+I15</f>
        <v>115.08333333333333</v>
      </c>
      <c r="J22" s="556"/>
      <c r="K22" s="556"/>
      <c r="L22" s="556"/>
      <c r="M22" s="556"/>
      <c r="N22" s="556"/>
      <c r="O22" s="556"/>
      <c r="P22" s="556"/>
      <c r="Q22" s="556"/>
      <c r="R22" s="527"/>
      <c r="S22" s="529"/>
      <c r="T22" s="529">
        <f>T4+T7+T8+T9+T10+T12+T15</f>
        <v>678000</v>
      </c>
      <c r="U22" s="529"/>
      <c r="V22" s="529"/>
      <c r="W22" s="529">
        <f>W4+W7+W8+W9+W10+W12+W15</f>
        <v>975914.76150750415</v>
      </c>
    </row>
    <row r="23" spans="1:41" hidden="1" x14ac:dyDescent="0.35">
      <c r="F23" s="527">
        <f>SUM(F21:F22)</f>
        <v>194</v>
      </c>
      <c r="G23" s="527"/>
      <c r="H23" s="527">
        <f>SUM(H21:H22)</f>
        <v>200</v>
      </c>
      <c r="I23" s="527">
        <f>SUM(I21:I22)</f>
        <v>202.08333333333331</v>
      </c>
      <c r="J23" s="556"/>
      <c r="K23" s="556"/>
      <c r="L23" s="556"/>
      <c r="M23" s="556"/>
      <c r="N23" s="556"/>
      <c r="O23" s="556"/>
      <c r="P23" s="556"/>
      <c r="Q23" s="556"/>
      <c r="R23" s="527"/>
      <c r="S23" s="529"/>
      <c r="T23" s="529">
        <f>SUM(T21:T22)</f>
        <v>810000</v>
      </c>
      <c r="U23" s="529"/>
      <c r="V23" s="529"/>
      <c r="W23" s="529">
        <f>SUM(W21:W22)</f>
        <v>1748935.825686502</v>
      </c>
    </row>
    <row r="24" spans="1:41" hidden="1" x14ac:dyDescent="0.35">
      <c r="F24" s="527">
        <f>F23-F19</f>
        <v>-15</v>
      </c>
      <c r="G24" s="527"/>
      <c r="H24" s="527">
        <f>H23-H19</f>
        <v>-30</v>
      </c>
      <c r="I24" s="527">
        <f>I23-I19</f>
        <v>-30.000000000000028</v>
      </c>
      <c r="J24" s="556"/>
      <c r="K24" s="556"/>
      <c r="L24" s="556"/>
      <c r="M24" s="556"/>
      <c r="N24" s="556"/>
      <c r="O24" s="556"/>
      <c r="P24" s="556"/>
      <c r="Q24" s="556"/>
      <c r="R24" s="527"/>
      <c r="S24" s="529"/>
      <c r="T24" s="529">
        <f>T23-T19</f>
        <v>-180000</v>
      </c>
      <c r="U24" s="529"/>
      <c r="V24" s="529"/>
      <c r="W24" s="529">
        <f>W23-W19</f>
        <v>-342143.4582969381</v>
      </c>
    </row>
    <row r="25" spans="1:41" hidden="1" x14ac:dyDescent="0.35">
      <c r="S25" s="494"/>
      <c r="T25" s="494"/>
      <c r="U25" s="494"/>
      <c r="V25" s="494"/>
      <c r="W25" s="494"/>
    </row>
    <row r="26" spans="1:41" ht="9" hidden="1" customHeight="1" x14ac:dyDescent="0.35">
      <c r="S26" s="494"/>
      <c r="T26" s="494"/>
      <c r="U26" s="494"/>
      <c r="V26" s="494"/>
      <c r="W26" s="494"/>
    </row>
    <row r="27" spans="1:41" hidden="1" x14ac:dyDescent="0.35">
      <c r="S27" s="494"/>
      <c r="T27" s="494"/>
      <c r="U27" s="494"/>
      <c r="V27" s="494"/>
      <c r="W27" s="494"/>
    </row>
    <row r="28" spans="1:41" hidden="1" x14ac:dyDescent="0.35">
      <c r="S28" s="494"/>
      <c r="T28" s="494"/>
      <c r="U28" s="494"/>
      <c r="V28" s="494"/>
      <c r="W28" s="494"/>
    </row>
    <row r="29" spans="1:41" hidden="1" x14ac:dyDescent="0.35">
      <c r="S29" s="494" t="s">
        <v>215</v>
      </c>
      <c r="T29" s="494"/>
      <c r="U29" s="494"/>
      <c r="V29" s="494"/>
      <c r="W29" s="529">
        <f>'[39]Budget 2017 18 '!$K$16</f>
        <v>2472590.2364222007</v>
      </c>
    </row>
    <row r="30" spans="1:41" hidden="1" x14ac:dyDescent="0.35">
      <c r="S30" s="494"/>
      <c r="T30" s="494"/>
      <c r="U30" s="494"/>
      <c r="V30" s="494"/>
      <c r="W30" s="494"/>
    </row>
    <row r="31" spans="1:41" hidden="1" x14ac:dyDescent="0.35">
      <c r="S31" s="494" t="s">
        <v>216</v>
      </c>
      <c r="T31" s="494"/>
      <c r="U31" s="494"/>
      <c r="V31" s="494"/>
      <c r="W31" s="529">
        <f>'[40]2016-17 HN places &amp; deductions'!$E$64*1000000</f>
        <v>982497</v>
      </c>
    </row>
    <row r="32" spans="1:41" hidden="1" x14ac:dyDescent="0.35">
      <c r="S32" s="494"/>
      <c r="T32" s="494"/>
      <c r="U32" s="494"/>
      <c r="V32" s="494"/>
      <c r="W32" s="494"/>
    </row>
    <row r="33" spans="5:41" hidden="1" x14ac:dyDescent="0.35">
      <c r="S33" s="494" t="s">
        <v>217</v>
      </c>
      <c r="T33" s="494"/>
      <c r="U33" s="494"/>
      <c r="V33" s="494"/>
      <c r="W33" s="494"/>
    </row>
    <row r="34" spans="5:41" hidden="1" x14ac:dyDescent="0.35">
      <c r="S34" s="494" t="s">
        <v>218</v>
      </c>
      <c r="T34" s="494"/>
      <c r="U34" s="494"/>
      <c r="V34" s="494"/>
      <c r="W34" s="529">
        <f>Q19</f>
        <v>1070474.0034983796</v>
      </c>
    </row>
    <row r="35" spans="5:41" hidden="1" x14ac:dyDescent="0.35">
      <c r="S35" s="494" t="s">
        <v>219</v>
      </c>
      <c r="T35" s="494"/>
      <c r="U35" s="494"/>
      <c r="V35" s="494"/>
      <c r="W35" s="529">
        <f>W19</f>
        <v>2091079.2839834401</v>
      </c>
    </row>
    <row r="36" spans="5:41" hidden="1" x14ac:dyDescent="0.35">
      <c r="S36" s="558" t="s">
        <v>144</v>
      </c>
      <c r="T36" s="558"/>
      <c r="U36" s="558"/>
      <c r="V36" s="558"/>
      <c r="W36" s="530">
        <f>SUM(W34:W35)</f>
        <v>3161553.2874818197</v>
      </c>
    </row>
    <row r="37" spans="5:41" hidden="1" x14ac:dyDescent="0.35">
      <c r="S37" s="558"/>
      <c r="T37" s="558"/>
      <c r="U37" s="558"/>
      <c r="V37" s="558"/>
      <c r="W37" s="494"/>
    </row>
    <row r="38" spans="5:41" hidden="1" x14ac:dyDescent="0.35">
      <c r="S38" s="494" t="s">
        <v>220</v>
      </c>
      <c r="T38" s="494"/>
      <c r="U38" s="494"/>
      <c r="V38" s="494"/>
      <c r="W38" s="529">
        <v>600000</v>
      </c>
    </row>
    <row r="39" spans="5:41" hidden="1" x14ac:dyDescent="0.35"/>
    <row r="40" spans="5:41" hidden="1" x14ac:dyDescent="0.35"/>
    <row r="41" spans="5:41" x14ac:dyDescent="0.35">
      <c r="J41" s="495"/>
      <c r="K41" s="527">
        <f>K19-M19</f>
        <v>2091079.2839834401</v>
      </c>
      <c r="L41" s="495"/>
      <c r="M41" s="495"/>
      <c r="N41" s="495"/>
      <c r="O41" s="495"/>
      <c r="P41" s="495"/>
      <c r="Q41" s="495"/>
      <c r="R41" s="557"/>
      <c r="S41" s="557"/>
      <c r="T41" s="557"/>
      <c r="AF41" s="495"/>
      <c r="AI41" s="499"/>
      <c r="AM41" s="553">
        <f>AM19</f>
        <v>542173.52918275609</v>
      </c>
      <c r="AO41" s="559">
        <f>SUM(AN19:AO19)</f>
        <v>566717.35310645751</v>
      </c>
    </row>
    <row r="42" spans="5:41" x14ac:dyDescent="0.35">
      <c r="I42" s="560" t="s">
        <v>240</v>
      </c>
      <c r="J42" s="560"/>
      <c r="K42" s="560"/>
      <c r="L42" s="560"/>
      <c r="M42" s="560"/>
      <c r="N42" s="560"/>
      <c r="O42" s="560"/>
      <c r="P42" s="561">
        <f t="shared" ref="P42:V42" si="28">SUMIF($A$4:$A$17,0,P4:P17)</f>
        <v>83</v>
      </c>
      <c r="Q42" s="561">
        <f t="shared" si="28"/>
        <v>394015.268606639</v>
      </c>
      <c r="R42" s="561">
        <f t="shared" si="28"/>
        <v>4</v>
      </c>
      <c r="S42" s="561">
        <f t="shared" si="28"/>
        <v>20173.529182756127</v>
      </c>
      <c r="T42" s="561">
        <f t="shared" si="28"/>
        <v>132000</v>
      </c>
      <c r="U42" s="561">
        <f t="shared" si="28"/>
        <v>390000</v>
      </c>
      <c r="V42" s="561">
        <f t="shared" si="28"/>
        <v>230847.53499624174</v>
      </c>
      <c r="W42" s="561"/>
      <c r="X42" s="561"/>
      <c r="Y42" s="561"/>
      <c r="Z42" s="561"/>
      <c r="AA42" s="561">
        <f>SUMIF($A$4:$A$17,0,AA4:AA17)</f>
        <v>1167036.3327856369</v>
      </c>
      <c r="AB42" s="561">
        <f>SUMIF($A$4:$A$17,0,AB4:AB17)</f>
        <v>394015.268606639</v>
      </c>
      <c r="AC42" s="561">
        <f>SUMIF($A$4:$A$17,0,AC4:AC17)</f>
        <v>542173.52918275609</v>
      </c>
      <c r="AD42" s="561">
        <f>SUMIF($A$4:$A$17,0,AD4:AD17)</f>
        <v>230847.53499624174</v>
      </c>
      <c r="AE42" s="561">
        <f>SUMIF($A$4:$A$17,0,AE4:AE17)</f>
        <v>1167036.3327856369</v>
      </c>
      <c r="AF42" s="495"/>
      <c r="AI42" s="499"/>
    </row>
    <row r="43" spans="5:41" x14ac:dyDescent="0.35">
      <c r="I43" s="560" t="s">
        <v>241</v>
      </c>
      <c r="J43" s="560"/>
      <c r="K43" s="560"/>
      <c r="L43" s="560"/>
      <c r="M43" s="560"/>
      <c r="N43" s="560"/>
      <c r="O43" s="560"/>
      <c r="P43" s="561">
        <f t="shared" ref="P43:V43" si="29">SUMIF($A$4:$A$19,"recoupment academy",P4:P19)</f>
        <v>111</v>
      </c>
      <c r="Q43" s="561">
        <f t="shared" si="29"/>
        <v>602052.19318867847</v>
      </c>
      <c r="R43" s="561">
        <f t="shared" si="29"/>
        <v>7</v>
      </c>
      <c r="S43" s="561">
        <f t="shared" si="29"/>
        <v>36148.175850176638</v>
      </c>
      <c r="T43" s="561">
        <f t="shared" si="29"/>
        <v>678000</v>
      </c>
      <c r="U43" s="561">
        <f t="shared" si="29"/>
        <v>12500</v>
      </c>
      <c r="V43" s="561">
        <f t="shared" si="29"/>
        <v>249266.58565732758</v>
      </c>
      <c r="W43" s="561"/>
      <c r="X43" s="561"/>
      <c r="Y43" s="561"/>
      <c r="Z43" s="561"/>
      <c r="AA43" s="561">
        <f>SUMIF($A$4:$A$19,"recoupment academy",AA4:AA19)</f>
        <v>1577966.9546961826</v>
      </c>
      <c r="AB43" s="561">
        <f>SUMIF($A$4:$A$19,"recoupment academy",AB4:AB19)</f>
        <v>602052.19318867847</v>
      </c>
      <c r="AC43" s="561">
        <f>SUMIF($A$4:$A$19,"recoupment academy",AC4:AC19)</f>
        <v>726648.17585017672</v>
      </c>
      <c r="AD43" s="561">
        <f>SUMIF($A$4:$A$19,"recoupment academy",AD4:AD19)</f>
        <v>249266.58565732758</v>
      </c>
      <c r="AE43" s="561">
        <f>SUMIF($A$4:$A$19,"recoupment academy",AE4:AE19)</f>
        <v>1577966.9546961826</v>
      </c>
      <c r="AF43" s="495"/>
      <c r="AI43" s="499"/>
      <c r="AO43" s="562">
        <f>SUM(AM41:AO41)</f>
        <v>1108890.8822892136</v>
      </c>
    </row>
    <row r="44" spans="5:41" x14ac:dyDescent="0.35">
      <c r="E44" s="182"/>
      <c r="I44" s="560"/>
      <c r="J44" s="560"/>
      <c r="K44" s="560"/>
      <c r="L44" s="560"/>
      <c r="M44" s="560"/>
      <c r="N44" s="560"/>
      <c r="O44" s="560"/>
      <c r="P44" s="560"/>
      <c r="Q44" s="560"/>
      <c r="R44" s="561"/>
      <c r="S44" s="561"/>
      <c r="T44" s="561"/>
      <c r="U44" s="561"/>
      <c r="V44" s="561"/>
      <c r="W44" s="561"/>
      <c r="X44" s="561"/>
      <c r="AF44" s="495"/>
      <c r="AI44" s="499"/>
    </row>
    <row r="45" spans="5:41" x14ac:dyDescent="0.35">
      <c r="I45" s="560" t="s">
        <v>242</v>
      </c>
      <c r="J45" s="560"/>
      <c r="K45" s="560"/>
      <c r="L45" s="560"/>
      <c r="M45" s="560"/>
      <c r="N45" s="560"/>
      <c r="O45" s="560"/>
      <c r="P45" s="560"/>
      <c r="Q45" s="561">
        <f t="shared" ref="Q45" si="30">Q8+Q10+Q15</f>
        <v>218851.08715065569</v>
      </c>
      <c r="R45" s="561"/>
      <c r="S45" s="561">
        <f>S8+S10+S15</f>
        <v>13080.98943387924</v>
      </c>
      <c r="T45" s="561">
        <f t="shared" ref="T45:AA45" si="31">T8+T10+T15</f>
        <v>288000</v>
      </c>
      <c r="U45" s="561">
        <f t="shared" si="31"/>
        <v>0</v>
      </c>
      <c r="V45" s="561">
        <f t="shared" si="31"/>
        <v>123390.5679870637</v>
      </c>
      <c r="W45" s="561"/>
      <c r="X45" s="561"/>
      <c r="Y45" s="561"/>
      <c r="Z45" s="561"/>
      <c r="AA45" s="561">
        <f t="shared" si="31"/>
        <v>643322.64457159862</v>
      </c>
      <c r="AF45" s="495"/>
      <c r="AI45" s="499"/>
    </row>
    <row r="46" spans="5:41" x14ac:dyDescent="0.35">
      <c r="I46" s="495" t="s">
        <v>243</v>
      </c>
      <c r="J46" s="495"/>
      <c r="K46" s="495"/>
      <c r="L46" s="495"/>
      <c r="M46" s="495"/>
      <c r="N46" s="495"/>
      <c r="O46" s="495"/>
      <c r="P46" s="495"/>
      <c r="Q46" s="556">
        <f t="shared" ref="Q46" si="32">Q4+Q7+Q9+Q12</f>
        <v>383201.10603802279</v>
      </c>
      <c r="R46" s="556"/>
      <c r="S46" s="556">
        <f>S4+S7+S9+S12</f>
        <v>23067.186416297398</v>
      </c>
      <c r="T46" s="556">
        <f t="shared" ref="T46:AA46" si="33">T4+T7+T9+T12</f>
        <v>390000</v>
      </c>
      <c r="U46" s="556">
        <f t="shared" si="33"/>
        <v>12500</v>
      </c>
      <c r="V46" s="556">
        <f t="shared" si="33"/>
        <v>125876.01767026389</v>
      </c>
      <c r="W46" s="556"/>
      <c r="X46" s="556"/>
      <c r="Y46" s="556"/>
      <c r="Z46" s="556"/>
      <c r="AA46" s="556">
        <f t="shared" si="33"/>
        <v>934644.31012458401</v>
      </c>
      <c r="AF46" s="495"/>
      <c r="AI46" s="499"/>
    </row>
    <row r="47" spans="5:41" x14ac:dyDescent="0.35">
      <c r="J47" s="495"/>
      <c r="K47" s="495"/>
      <c r="L47" s="495"/>
      <c r="M47" s="495"/>
      <c r="N47" s="495"/>
      <c r="O47" s="495"/>
      <c r="P47" s="495"/>
      <c r="Q47" s="556">
        <f>SUM(Q45:Q46)-Q43</f>
        <v>0</v>
      </c>
      <c r="R47" s="557"/>
      <c r="S47" s="556">
        <f>SUM(S45:S46)-S43</f>
        <v>0</v>
      </c>
      <c r="T47" s="556">
        <f t="shared" ref="T47:AA47" si="34">SUM(T45:T46)-T43</f>
        <v>0</v>
      </c>
      <c r="U47" s="556">
        <f t="shared" si="34"/>
        <v>0</v>
      </c>
      <c r="V47" s="556">
        <f t="shared" si="34"/>
        <v>0</v>
      </c>
      <c r="W47" s="556">
        <f t="shared" si="34"/>
        <v>0</v>
      </c>
      <c r="X47" s="556"/>
      <c r="Y47" s="556"/>
      <c r="Z47" s="556">
        <f t="shared" si="34"/>
        <v>0</v>
      </c>
      <c r="AA47" s="556">
        <f t="shared" si="34"/>
        <v>0</v>
      </c>
      <c r="AF47" s="495"/>
      <c r="AI47" s="499"/>
    </row>
    <row r="48" spans="5:41" x14ac:dyDescent="0.35">
      <c r="J48" s="495"/>
      <c r="K48" s="495"/>
      <c r="L48" s="495"/>
      <c r="M48" s="495"/>
      <c r="N48" s="495"/>
      <c r="O48" s="495"/>
      <c r="P48" s="495"/>
      <c r="Q48" s="495"/>
      <c r="R48" s="557"/>
      <c r="S48" s="557"/>
      <c r="T48" s="557"/>
      <c r="AF48" s="495"/>
      <c r="AI48" s="499"/>
    </row>
  </sheetData>
  <pageMargins left="0.23622047244094491" right="0.23622047244094491" top="0.74803149606299213" bottom="0.74803149606299213" header="0.31496062992125984" footer="0.31496062992125984"/>
  <pageSetup paperSize="9" scale="47" orientation="landscape" r:id="rId1"/>
  <headerFooter>
    <oddFooter>&amp;L&amp;Z&amp;F&amp;F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Template</vt:lpstr>
      <vt:lpstr>Instructions</vt:lpstr>
      <vt:lpstr>Primary</vt:lpstr>
      <vt:lpstr>Secondary</vt:lpstr>
      <vt:lpstr>Special 23-24</vt:lpstr>
      <vt:lpstr>IR 22-23</vt:lpstr>
      <vt:lpstr>IR Budget 2023-24</vt:lpstr>
      <vt:lpstr>MFG-Gains A4</vt:lpstr>
      <vt:lpstr>IR Budget 2021 22</vt:lpstr>
      <vt:lpstr>Schools List</vt:lpstr>
      <vt:lpstr>Special 2021-22</vt:lpstr>
      <vt:lpstr>3-16</vt:lpstr>
      <vt:lpstr>'3-16'!Print_Area</vt:lpstr>
      <vt:lpstr>'IR Budget 2021 22'!Print_Area</vt:lpstr>
      <vt:lpstr>'MFG-Gains A4'!Print_Area</vt:lpstr>
      <vt:lpstr>Primary!Print_Area</vt:lpstr>
      <vt:lpstr>Secondary!Print_Area</vt:lpstr>
    </vt:vector>
  </TitlesOfParts>
  <Company>Sheffield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Jacky.Beatson@sheffield.gov.uk</dc:creator>
  <cp:lastModifiedBy>Beatson Jacky</cp:lastModifiedBy>
  <cp:lastPrinted>2023-02-22T18:32:55Z</cp:lastPrinted>
  <dcterms:created xsi:type="dcterms:W3CDTF">2011-03-17T09:46:52Z</dcterms:created>
  <dcterms:modified xsi:type="dcterms:W3CDTF">2023-02-24T17:04:47Z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588358-c3f1-4695-a290-e2f70d15689d_Enabled">
    <vt:lpwstr>true</vt:lpwstr>
  </property>
  <property fmtid="{D5CDD505-2E9C-101B-9397-08002B2CF9AE}" pid="3" name="MSIP_Label_c8588358-c3f1-4695-a290-e2f70d15689d_SetDate">
    <vt:lpwstr>2022-02-21T13:06:59Z</vt:lpwstr>
  </property>
  <property fmtid="{D5CDD505-2E9C-101B-9397-08002B2CF9AE}" pid="4" name="MSIP_Label_c8588358-c3f1-4695-a290-e2f70d15689d_Method">
    <vt:lpwstr>Privileged</vt:lpwstr>
  </property>
  <property fmtid="{D5CDD505-2E9C-101B-9397-08002B2CF9AE}" pid="5" name="MSIP_Label_c8588358-c3f1-4695-a290-e2f70d15689d_Name">
    <vt:lpwstr>Official – General</vt:lpwstr>
  </property>
  <property fmtid="{D5CDD505-2E9C-101B-9397-08002B2CF9AE}" pid="6" name="MSIP_Label_c8588358-c3f1-4695-a290-e2f70d15689d_SiteId">
    <vt:lpwstr>a1ba59b9-7204-48d8-a360-7770245ad4a9</vt:lpwstr>
  </property>
  <property fmtid="{D5CDD505-2E9C-101B-9397-08002B2CF9AE}" pid="7" name="MSIP_Label_c8588358-c3f1-4695-a290-e2f70d15689d_ActionId">
    <vt:lpwstr>cb78c649-4661-4bac-adca-e000a342e2db</vt:lpwstr>
  </property>
  <property fmtid="{D5CDD505-2E9C-101B-9397-08002B2CF9AE}" pid="8" name="MSIP_Label_c8588358-c3f1-4695-a290-e2f70d15689d_ContentBits">
    <vt:lpwstr>0</vt:lpwstr>
  </property>
</Properties>
</file>